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Thomas\Desktop\"/>
    </mc:Choice>
  </mc:AlternateContent>
  <bookViews>
    <workbookView xWindow="-25320" yWindow="-2400" windowWidth="25440" windowHeight="15996" activeTab="1"/>
  </bookViews>
  <sheets>
    <sheet name="Accueil" sheetId="4" r:id="rId1"/>
    <sheet name="Fiche de vérification" sheetId="2" r:id="rId2"/>
    <sheet name="Valeurs de reference" sheetId="3" r:id="rId3"/>
    <sheet name="Fiche de synthèse" sheetId="5" r:id="rId4"/>
    <sheet name="Aide au calcul" sheetId="7" r:id="rId5"/>
    <sheet name="listes deroulantes" sheetId="8" r:id="rId6"/>
  </sheets>
  <externalReferences>
    <externalReference r:id="rId7"/>
  </externalReferences>
  <definedNames>
    <definedName name="appoint2">'[1]paramètres entrée'!$B$2:$B$6</definedName>
    <definedName name="Conso_annuelle">'Fiche de vérification'!$F$19</definedName>
    <definedName name="demarche">'[1]paramètres entrée'!$D$2:$D$5</definedName>
    <definedName name="Densite_therm_min">#REF!</definedName>
    <definedName name="Excel_BuiltIn__FilterDatabase_4">'Valeurs de reference'!$F$41:$F$41</definedName>
    <definedName name="garantie">'[1]paramètres entrée'!$E$2:$E$4</definedName>
    <definedName name="heures_fonctio_min">#REF!</definedName>
    <definedName name="liste_oui_non">'Valeurs de reference'!#REF!</definedName>
    <definedName name="llongueur_reseau">'Fiche de vérification'!#REF!</definedName>
    <definedName name="longueur_reseau">'Fiche de vérification'!$F$23</definedName>
    <definedName name="pf">'[1]paramètres entrée'!$A$2:$A$6</definedName>
    <definedName name="Puiss_bois">'Fiche de vérification'!$F$17</definedName>
    <definedName name="Puiss_totale">'Fiche de vérification'!$F$16</definedName>
    <definedName name="ref">'[1]paramètres entrée'!$C$2:$C$7</definedName>
    <definedName name="Tx_charge_min">#REF!</definedName>
    <definedName name="Tx_couverture_min">#REF!</definedName>
    <definedName name="vol_total_silo">'Fiche de vérification'!$F$63</definedName>
    <definedName name="vol_utile_silo">'Fiche de vérification'!$F$65</definedName>
    <definedName name="_xlnm.Print_Area" localSheetId="1">'Fiche de vérification'!$D$1:$G$109</definedName>
    <definedName name="_xlnm.Print_Area" localSheetId="2">'Valeurs de reference'!$D$1:$G$58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0" i="5" l="1"/>
  <c r="B55" i="5" l="1"/>
  <c r="I37" i="7" l="1"/>
  <c r="I36" i="7"/>
  <c r="I35" i="7"/>
  <c r="I34" i="7"/>
  <c r="I33" i="7"/>
  <c r="I32" i="7"/>
  <c r="I31" i="7"/>
  <c r="I30" i="7"/>
  <c r="I29" i="7"/>
  <c r="I28" i="7"/>
  <c r="F38" i="7"/>
  <c r="I20" i="2" l="1"/>
  <c r="E21" i="5" l="1"/>
  <c r="B21" i="5"/>
  <c r="C43" i="7" l="1"/>
  <c r="C49" i="7" s="1"/>
  <c r="I38" i="7"/>
  <c r="E38" i="7"/>
  <c r="D38" i="7"/>
  <c r="H37" i="7"/>
  <c r="J37" i="7" s="1"/>
  <c r="G37" i="7"/>
  <c r="K37" i="7" s="1"/>
  <c r="C37" i="7"/>
  <c r="B37" i="7"/>
  <c r="K36" i="7"/>
  <c r="G36" i="7"/>
  <c r="H36" i="7" s="1"/>
  <c r="J36" i="7" s="1"/>
  <c r="C36" i="7"/>
  <c r="B36" i="7"/>
  <c r="H35" i="7"/>
  <c r="J35" i="7" s="1"/>
  <c r="G35" i="7"/>
  <c r="K35" i="7" s="1"/>
  <c r="C35" i="7"/>
  <c r="B35" i="7"/>
  <c r="K34" i="7"/>
  <c r="G34" i="7"/>
  <c r="H34" i="7" s="1"/>
  <c r="J34" i="7" s="1"/>
  <c r="C34" i="7"/>
  <c r="B34" i="7"/>
  <c r="G33" i="7"/>
  <c r="K33" i="7" s="1"/>
  <c r="C33" i="7"/>
  <c r="B33" i="7"/>
  <c r="G32" i="7"/>
  <c r="K32" i="7" s="1"/>
  <c r="C32" i="7"/>
  <c r="B32" i="7"/>
  <c r="K31" i="7"/>
  <c r="H31" i="7"/>
  <c r="J31" i="7" s="1"/>
  <c r="G31" i="7"/>
  <c r="C31" i="7"/>
  <c r="B31" i="7"/>
  <c r="G30" i="7"/>
  <c r="K30" i="7" s="1"/>
  <c r="C30" i="7"/>
  <c r="C38" i="7" s="1"/>
  <c r="B30" i="7"/>
  <c r="G29" i="7"/>
  <c r="G28" i="7"/>
  <c r="H28" i="7" s="1"/>
  <c r="C26" i="7"/>
  <c r="B26" i="7"/>
  <c r="F22" i="7"/>
  <c r="H22" i="7" s="1"/>
  <c r="F21" i="7"/>
  <c r="H21" i="7" s="1"/>
  <c r="F20" i="7"/>
  <c r="H20" i="7" s="1"/>
  <c r="F19" i="7"/>
  <c r="H19" i="7" s="1"/>
  <c r="F18" i="7"/>
  <c r="H18" i="7" s="1"/>
  <c r="F17" i="7"/>
  <c r="H17" i="7" s="1"/>
  <c r="H16" i="7"/>
  <c r="J16" i="7" s="1"/>
  <c r="F16" i="7"/>
  <c r="H15" i="7"/>
  <c r="F15" i="7"/>
  <c r="H14" i="7"/>
  <c r="F14" i="7"/>
  <c r="P13" i="7"/>
  <c r="N13" i="7"/>
  <c r="M13" i="7"/>
  <c r="F13" i="7"/>
  <c r="H13" i="7" s="1"/>
  <c r="P12" i="7"/>
  <c r="N12" i="7"/>
  <c r="M12" i="7"/>
  <c r="F12" i="7"/>
  <c r="H12" i="7" s="1"/>
  <c r="P11" i="7"/>
  <c r="N11" i="7"/>
  <c r="M11" i="7"/>
  <c r="F11" i="7"/>
  <c r="H11" i="7" s="1"/>
  <c r="P10" i="7"/>
  <c r="N10" i="7"/>
  <c r="M10" i="7"/>
  <c r="H10" i="7"/>
  <c r="F10" i="7"/>
  <c r="P9" i="7"/>
  <c r="N9" i="7"/>
  <c r="M9" i="7"/>
  <c r="F9" i="7"/>
  <c r="H9" i="7" s="1"/>
  <c r="P8" i="7"/>
  <c r="N8" i="7"/>
  <c r="M8" i="7"/>
  <c r="F8" i="7"/>
  <c r="H8" i="7" s="1"/>
  <c r="P7" i="7"/>
  <c r="N7" i="7"/>
  <c r="M7" i="7"/>
  <c r="F7" i="7"/>
  <c r="H7" i="7" s="1"/>
  <c r="G130" i="5"/>
  <c r="E121" i="5"/>
  <c r="G102" i="5"/>
  <c r="G98" i="5"/>
  <c r="G99" i="5" s="1"/>
  <c r="E112" i="5" s="1"/>
  <c r="G97" i="5"/>
  <c r="G106" i="5" s="1"/>
  <c r="B85" i="5"/>
  <c r="G120" i="5" s="1"/>
  <c r="G124" i="5" s="1"/>
  <c r="D80" i="5"/>
  <c r="B70" i="5" s="1"/>
  <c r="G75" i="5"/>
  <c r="E75" i="5"/>
  <c r="F69" i="5"/>
  <c r="B68" i="5"/>
  <c r="F67" i="5"/>
  <c r="F66" i="5"/>
  <c r="F65" i="5"/>
  <c r="F64" i="5"/>
  <c r="B64" i="5"/>
  <c r="F63" i="5"/>
  <c r="B63" i="5"/>
  <c r="B61" i="5"/>
  <c r="B60" i="5"/>
  <c r="G101" i="5" s="1"/>
  <c r="B59" i="5"/>
  <c r="F59" i="5" s="1"/>
  <c r="E51" i="5"/>
  <c r="E50" i="5"/>
  <c r="B50" i="5"/>
  <c r="F50" i="5" s="1"/>
  <c r="F49" i="5"/>
  <c r="F48" i="5"/>
  <c r="F47" i="5"/>
  <c r="F46" i="5"/>
  <c r="F45" i="5"/>
  <c r="F44" i="5"/>
  <c r="F43" i="5"/>
  <c r="F42" i="5"/>
  <c r="F41" i="5"/>
  <c r="F40" i="5"/>
  <c r="F39" i="5"/>
  <c r="F38" i="5"/>
  <c r="F37" i="5"/>
  <c r="F36" i="5"/>
  <c r="F35" i="5"/>
  <c r="F34" i="5"/>
  <c r="F24" i="3"/>
  <c r="F18" i="3"/>
  <c r="F17" i="3"/>
  <c r="F16" i="3"/>
  <c r="F15" i="3"/>
  <c r="F14" i="3"/>
  <c r="F13" i="3"/>
  <c r="AQ10" i="3"/>
  <c r="AO10" i="3"/>
  <c r="AM10" i="3"/>
  <c r="AK10" i="3"/>
  <c r="AQ9" i="3"/>
  <c r="AO9" i="3"/>
  <c r="AM9" i="3"/>
  <c r="AK9" i="3"/>
  <c r="B8" i="3"/>
  <c r="AQ7" i="3"/>
  <c r="AO7" i="3"/>
  <c r="AM7" i="3"/>
  <c r="AK7" i="3"/>
  <c r="I106" i="2"/>
  <c r="I105" i="2"/>
  <c r="F100" i="2"/>
  <c r="I100" i="2" s="1"/>
  <c r="I98" i="2"/>
  <c r="F98" i="2"/>
  <c r="F103" i="2" s="1"/>
  <c r="I96" i="2"/>
  <c r="F96" i="2"/>
  <c r="I92" i="2"/>
  <c r="I91" i="2"/>
  <c r="I88" i="2"/>
  <c r="I87" i="2"/>
  <c r="I86" i="2"/>
  <c r="I85" i="2"/>
  <c r="I84" i="2"/>
  <c r="I83" i="2"/>
  <c r="I82" i="2"/>
  <c r="I81" i="2"/>
  <c r="I79" i="2"/>
  <c r="I78" i="2"/>
  <c r="I77" i="2"/>
  <c r="I76" i="2"/>
  <c r="I75" i="2"/>
  <c r="I74" i="2"/>
  <c r="I73" i="2"/>
  <c r="I72" i="2"/>
  <c r="F69" i="2"/>
  <c r="I69" i="2" s="1"/>
  <c r="I67" i="2"/>
  <c r="I66" i="2"/>
  <c r="F65" i="2"/>
  <c r="F71" i="2" s="1"/>
  <c r="I64" i="2"/>
  <c r="I61" i="2"/>
  <c r="I60" i="2"/>
  <c r="I59" i="2"/>
  <c r="I58" i="2"/>
  <c r="I57" i="2"/>
  <c r="I56" i="2"/>
  <c r="I51" i="2"/>
  <c r="I50" i="2"/>
  <c r="I49" i="2"/>
  <c r="I48" i="2"/>
  <c r="I46" i="2"/>
  <c r="F45" i="2"/>
  <c r="I44" i="2"/>
  <c r="I43" i="2"/>
  <c r="I42" i="2"/>
  <c r="I41" i="2"/>
  <c r="I40" i="2"/>
  <c r="I39" i="2"/>
  <c r="I36" i="2"/>
  <c r="I34" i="2"/>
  <c r="F33" i="2"/>
  <c r="I32" i="2"/>
  <c r="F31" i="2"/>
  <c r="I31" i="2" s="1"/>
  <c r="F30" i="2"/>
  <c r="I30" i="2" s="1"/>
  <c r="I26" i="2"/>
  <c r="J25" i="2"/>
  <c r="F29" i="2" s="1"/>
  <c r="I28" i="2" s="1"/>
  <c r="I24" i="2"/>
  <c r="F22" i="2"/>
  <c r="F27" i="2" s="1"/>
  <c r="I27" i="2" s="1"/>
  <c r="I19" i="2"/>
  <c r="I18" i="2"/>
  <c r="B18" i="2"/>
  <c r="B19" i="2" s="1"/>
  <c r="B20" i="2" s="1"/>
  <c r="I17" i="2"/>
  <c r="B17" i="2"/>
  <c r="I16" i="2"/>
  <c r="J9" i="7" l="1"/>
  <c r="K9" i="7" s="1"/>
  <c r="J18" i="7"/>
  <c r="K18" i="7" s="1"/>
  <c r="J22" i="7"/>
  <c r="K22" i="7"/>
  <c r="K10" i="7"/>
  <c r="J11" i="7"/>
  <c r="K11" i="7"/>
  <c r="J12" i="7"/>
  <c r="K12" i="7"/>
  <c r="J13" i="7"/>
  <c r="K13" i="7" s="1"/>
  <c r="J19" i="7"/>
  <c r="K19" i="7" s="1"/>
  <c r="J17" i="7"/>
  <c r="K17" i="7" s="1"/>
  <c r="J21" i="7"/>
  <c r="K21" i="7" s="1"/>
  <c r="B10" i="3"/>
  <c r="B21" i="2"/>
  <c r="I71" i="2"/>
  <c r="I70" i="2"/>
  <c r="J20" i="7"/>
  <c r="K20" i="7"/>
  <c r="B81" i="5"/>
  <c r="B139" i="5" s="1"/>
  <c r="J10" i="7"/>
  <c r="J14" i="7"/>
  <c r="K14" i="7" s="1"/>
  <c r="J15" i="7"/>
  <c r="K15" i="7" s="1"/>
  <c r="H32" i="7"/>
  <c r="J32" i="7" s="1"/>
  <c r="H33" i="7"/>
  <c r="J33" i="7" s="1"/>
  <c r="F70" i="5"/>
  <c r="H30" i="7"/>
  <c r="J30" i="7" s="1"/>
  <c r="H23" i="7"/>
  <c r="J7" i="7"/>
  <c r="F23" i="7"/>
  <c r="J8" i="7"/>
  <c r="K8" i="7" s="1"/>
  <c r="K16" i="7"/>
  <c r="H29" i="7"/>
  <c r="J29" i="7" s="1"/>
  <c r="K29" i="7" s="1"/>
  <c r="J28" i="7"/>
  <c r="K28" i="7" s="1"/>
  <c r="G38" i="7"/>
  <c r="N14" i="7"/>
  <c r="P14" i="7"/>
  <c r="B80" i="5"/>
  <c r="B82" i="5" l="1"/>
  <c r="B84" i="5" s="1"/>
  <c r="E120" i="5"/>
  <c r="B12" i="3"/>
  <c r="B22" i="2"/>
  <c r="B23" i="2" s="1"/>
  <c r="B24" i="2" s="1"/>
  <c r="O14" i="7"/>
  <c r="J23" i="7"/>
  <c r="I23" i="7" s="1"/>
  <c r="G23" i="7"/>
  <c r="K7" i="7"/>
  <c r="K23" i="7"/>
  <c r="H38" i="7"/>
  <c r="J38" i="7"/>
  <c r="C48" i="7" s="1"/>
  <c r="C50" i="7" s="1"/>
  <c r="G138" i="5"/>
  <c r="G108" i="5" s="1"/>
  <c r="B79" i="5"/>
  <c r="C79" i="5" s="1"/>
  <c r="B77" i="5"/>
  <c r="C77" i="5" s="1"/>
  <c r="G139" i="5"/>
  <c r="B78" i="5"/>
  <c r="C78" i="5" s="1"/>
  <c r="B75" i="5"/>
  <c r="C75" i="5" s="1"/>
  <c r="B76" i="5"/>
  <c r="C76" i="5" s="1"/>
  <c r="F61" i="5" l="1"/>
  <c r="B138" i="5"/>
  <c r="G110" i="5"/>
  <c r="E111" i="5" s="1"/>
  <c r="G113" i="5" s="1"/>
  <c r="I110" i="5"/>
  <c r="I109" i="5"/>
  <c r="I108" i="5"/>
  <c r="C80" i="5"/>
  <c r="E119" i="5" s="1"/>
  <c r="E124" i="5" s="1"/>
  <c r="G125" i="5" s="1"/>
  <c r="B25" i="2"/>
  <c r="B13" i="3"/>
  <c r="K38" i="7"/>
  <c r="F134" i="5" l="1"/>
  <c r="E134" i="5"/>
  <c r="B19" i="3"/>
  <c r="B26" i="2"/>
  <c r="B27" i="2" s="1"/>
  <c r="B20" i="3" l="1"/>
  <c r="B28" i="2"/>
  <c r="B29" i="2" s="1"/>
  <c r="B30" i="2" s="1"/>
  <c r="B31" i="2" l="1"/>
  <c r="B21" i="3"/>
  <c r="B32" i="2" l="1"/>
  <c r="B33" i="2" s="1"/>
  <c r="B22" i="3"/>
  <c r="B24" i="3" l="1"/>
  <c r="B34" i="2"/>
  <c r="B35" i="2" s="1"/>
  <c r="B36" i="2" s="1"/>
  <c r="B39" i="2" s="1"/>
  <c r="B40" i="2" s="1"/>
  <c r="B41" i="2" s="1"/>
  <c r="B42" i="2" s="1"/>
  <c r="B43" i="2" s="1"/>
  <c r="B44" i="2" l="1"/>
  <c r="B45" i="2" s="1"/>
  <c r="B27" i="3"/>
  <c r="B33" i="3" l="1"/>
  <c r="B46" i="2"/>
  <c r="B47" i="2" s="1"/>
  <c r="B48" i="2" s="1"/>
  <c r="B49" i="2" s="1"/>
  <c r="B50" i="2" s="1"/>
  <c r="B51" i="2" s="1"/>
  <c r="B55" i="2" s="1"/>
  <c r="B56" i="2" s="1"/>
  <c r="B57" i="2" l="1"/>
  <c r="B37" i="3"/>
  <c r="B58" i="2" l="1"/>
  <c r="B59" i="2" s="1"/>
  <c r="B60" i="2" s="1"/>
  <c r="B38" i="3"/>
  <c r="B39" i="3" l="1"/>
  <c r="B61" i="2"/>
  <c r="B63" i="2" s="1"/>
  <c r="B64" i="2" s="1"/>
  <c r="B65" i="2" s="1"/>
  <c r="B41" i="3" l="1"/>
  <c r="B66" i="2"/>
  <c r="B67" i="2" l="1"/>
  <c r="B68" i="2" s="1"/>
  <c r="B69" i="2" s="1"/>
  <c r="B42" i="3"/>
  <c r="B28" i="3" l="1"/>
  <c r="B70" i="2"/>
  <c r="B71" i="2" s="1"/>
  <c r="B43" i="3" l="1"/>
  <c r="B72" i="2"/>
  <c r="B73" i="2" s="1"/>
  <c r="B74" i="2" s="1"/>
  <c r="B75" i="2" s="1"/>
  <c r="B76" i="2" s="1"/>
  <c r="B77" i="2" s="1"/>
  <c r="B78" i="2" s="1"/>
  <c r="B79" i="2" l="1"/>
  <c r="B81" i="2" s="1"/>
  <c r="B44" i="3"/>
  <c r="B47" i="3" l="1"/>
  <c r="B82" i="2"/>
  <c r="B83" i="2" l="1"/>
  <c r="B84" i="2" s="1"/>
  <c r="B48" i="3"/>
  <c r="B49" i="3" l="1"/>
  <c r="B85" i="2"/>
  <c r="B86" i="2" l="1"/>
  <c r="B87" i="2" s="1"/>
  <c r="B88" i="2" s="1"/>
  <c r="B91" i="2" s="1"/>
  <c r="B92" i="2" s="1"/>
  <c r="B95" i="2" s="1"/>
  <c r="B96" i="2" s="1"/>
  <c r="B97" i="2" s="1"/>
  <c r="B98" i="2" s="1"/>
  <c r="B99" i="2" s="1"/>
  <c r="B100" i="2" s="1"/>
  <c r="B101" i="2" s="1"/>
  <c r="B102" i="2" s="1"/>
  <c r="B103" i="2" s="1"/>
  <c r="B104" i="2" s="1"/>
  <c r="B105" i="2" s="1"/>
  <c r="B106" i="2" s="1"/>
  <c r="B53" i="3" s="1"/>
  <c r="B50" i="3"/>
</calcChain>
</file>

<file path=xl/comments1.xml><?xml version="1.0" encoding="utf-8"?>
<comments xmlns="http://schemas.openxmlformats.org/spreadsheetml/2006/main">
  <authors>
    <author>John PELLIER</author>
    <author>maylis</author>
  </authors>
  <commentList>
    <comment ref="B9" authorId="0" shapeId="0">
      <text>
        <r>
          <rPr>
            <b/>
            <sz val="9"/>
            <color indexed="81"/>
            <rFont val="Tahoma"/>
            <family val="2"/>
          </rPr>
          <t>format date/mois/année
XX/XX/XXXX</t>
        </r>
      </text>
    </comment>
    <comment ref="D21" authorId="0" shapeId="0">
      <text>
        <r>
          <rPr>
            <b/>
            <sz val="9"/>
            <color indexed="81"/>
            <rFont val="Tahoma"/>
            <family val="2"/>
          </rPr>
          <t>Données constructeurs</t>
        </r>
      </text>
    </comment>
    <comment ref="D26" authorId="0" shapeId="0">
      <text>
        <r>
          <rPr>
            <b/>
            <sz val="9"/>
            <color indexed="81"/>
            <rFont val="Tahoma"/>
            <family val="2"/>
          </rPr>
          <t>Calculé sur l'énergie en entrée de sous station (déduction faite des rendements de réseaux et de chaudière</t>
        </r>
      </text>
    </comment>
    <comment ref="E27" authorId="0" shapeId="0">
      <text>
        <r>
          <rPr>
            <b/>
            <sz val="9"/>
            <color indexed="81"/>
            <rFont val="Tahoma"/>
            <family val="2"/>
          </rPr>
          <t>Calculé sur l'énergie en entrée de sous station (déduction faite des rendements de réseaux et de chaudière</t>
        </r>
      </text>
    </comment>
    <comment ref="D31" authorId="0" shapeId="0">
      <text>
        <r>
          <rPr>
            <b/>
            <sz val="9"/>
            <color indexed="81"/>
            <rFont val="Tahoma"/>
            <family val="2"/>
          </rPr>
          <t>Valeur moyenne sur la durée d'utilisation de la chaudière</t>
        </r>
        <r>
          <rPr>
            <sz val="9"/>
            <color indexed="81"/>
            <rFont val="Tahoma"/>
            <family val="2"/>
          </rPr>
          <t xml:space="preserve">
</t>
        </r>
      </text>
    </comment>
    <comment ref="D48" authorId="0" shapeId="0">
      <text>
        <r>
          <rPr>
            <b/>
            <u/>
            <sz val="9"/>
            <color indexed="81"/>
            <rFont val="Tahoma"/>
            <family val="2"/>
          </rPr>
          <t xml:space="preserve">Régulation chaudière : </t>
        </r>
        <r>
          <rPr>
            <b/>
            <sz val="9"/>
            <color indexed="81"/>
            <rFont val="Tahoma"/>
            <family val="2"/>
          </rPr>
          <t xml:space="preserve">Chaudières(s) pilotées par les sondes de la (des) chaudière(s).
</t>
        </r>
        <r>
          <rPr>
            <b/>
            <u/>
            <sz val="9"/>
            <color indexed="81"/>
            <rFont val="Tahoma"/>
            <family val="2"/>
          </rPr>
          <t>Régulation pilotée par les besoins :</t>
        </r>
        <r>
          <rPr>
            <b/>
            <sz val="9"/>
            <color indexed="81"/>
            <rFont val="Tahoma"/>
            <family val="2"/>
          </rPr>
          <t xml:space="preserve"> Chaudières(s) pilotées par les appels de besoins dans les bâtiments (zones)</t>
        </r>
      </text>
    </comment>
    <comment ref="D56" authorId="0" shapeId="0">
      <text>
        <r>
          <rPr>
            <b/>
            <sz val="9"/>
            <color indexed="81"/>
            <rFont val="Tahoma"/>
            <family val="2"/>
          </rPr>
          <t>Si plusieurs trappes, indiquer la dimension de la plus petite des trappes</t>
        </r>
        <r>
          <rPr>
            <sz val="9"/>
            <color indexed="81"/>
            <rFont val="Tahoma"/>
            <family val="2"/>
          </rPr>
          <t xml:space="preserve"> </t>
        </r>
      </text>
    </comment>
    <comment ref="D57" authorId="0" shapeId="0">
      <text>
        <r>
          <rPr>
            <b/>
            <sz val="9"/>
            <color indexed="81"/>
            <rFont val="Tahoma"/>
            <family val="2"/>
          </rPr>
          <t>Si plusieurs trappes, indiquer la dimension de la plus petite des trappes</t>
        </r>
        <r>
          <rPr>
            <sz val="9"/>
            <color indexed="81"/>
            <rFont val="Tahoma"/>
            <family val="2"/>
          </rPr>
          <t xml:space="preserve">
</t>
        </r>
      </text>
    </comment>
    <comment ref="D60" authorId="0" shapeId="0">
      <text>
        <r>
          <rPr>
            <b/>
            <sz val="9"/>
            <color indexed="81"/>
            <rFont val="Tahoma"/>
            <family val="2"/>
          </rPr>
          <t>Si plusieurs trappes, indiquer la dimension de la plus petite des trappes</t>
        </r>
      </text>
    </comment>
    <comment ref="D61" authorId="0" shapeId="0">
      <text>
        <r>
          <rPr>
            <b/>
            <sz val="9"/>
            <color indexed="81"/>
            <rFont val="Tahoma"/>
            <family val="2"/>
          </rPr>
          <t>L'eau de ruissellement peut-elle rentrer dans le silo en cas de forte pluie ?</t>
        </r>
        <r>
          <rPr>
            <sz val="9"/>
            <color indexed="81"/>
            <rFont val="Tahoma"/>
            <family val="2"/>
          </rPr>
          <t xml:space="preserve">
</t>
        </r>
      </text>
    </comment>
    <comment ref="E63" authorId="0" shapeId="0">
      <text>
        <r>
          <rPr>
            <b/>
            <sz val="9"/>
            <color indexed="81"/>
            <rFont val="Tahoma"/>
            <family val="2"/>
          </rPr>
          <t>Volume théorique total (volume en eau) du silo</t>
        </r>
      </text>
    </comment>
    <comment ref="E64" authorId="0" shapeId="0">
      <text>
        <r>
          <rPr>
            <b/>
            <sz val="9"/>
            <color indexed="81"/>
            <rFont val="Tahoma"/>
            <family val="2"/>
          </rPr>
          <t>Volume réellement utilisable</t>
        </r>
      </text>
    </comment>
    <comment ref="E101" authorId="1" shapeId="0">
      <text>
        <r>
          <rPr>
            <sz val="9"/>
            <color indexed="81"/>
            <rFont val="Tahoma"/>
            <family val="2"/>
          </rPr>
          <t>Se reporter aux critères CPER : 5-2 : Critères techniques éligibles</t>
        </r>
      </text>
    </comment>
    <comment ref="D104" authorId="0" shapeId="0">
      <text>
        <r>
          <rPr>
            <b/>
            <sz val="9"/>
            <color indexed="81"/>
            <rFont val="Tahoma"/>
            <family val="2"/>
          </rPr>
          <t>Investissements Chaudière bois HT subventions déduites divisé par la puissance de la chaudière bois</t>
        </r>
      </text>
    </comment>
    <comment ref="D105" authorId="0" shapeId="0">
      <text>
        <r>
          <rPr>
            <b/>
            <sz val="9"/>
            <color indexed="81"/>
            <rFont val="Tahoma"/>
            <family val="2"/>
          </rPr>
          <t>Investissements HT subventions déduites divisé par l'économie de fonctionnement annuel</t>
        </r>
      </text>
    </comment>
    <comment ref="D106" authorId="0" shapeId="0">
      <text>
        <r>
          <rPr>
            <b/>
            <sz val="9"/>
            <color indexed="81"/>
            <rFont val="Tahoma"/>
            <family val="2"/>
          </rPr>
          <t>Coûts fonctionnement annuels (P1 + P2 + P3 + P4) divisé par la Consommation bois</t>
        </r>
      </text>
    </comment>
  </commentList>
</comments>
</file>

<file path=xl/comments2.xml><?xml version="1.0" encoding="utf-8"?>
<comments xmlns="http://schemas.openxmlformats.org/spreadsheetml/2006/main">
  <authors>
    <author>benjamin</author>
    <author>FERRAND Nicolas</author>
    <author>stagiaire3</author>
    <author>Maylis</author>
    <author>John PELLIER</author>
  </authors>
  <commentList>
    <comment ref="A17" authorId="0" shapeId="0">
      <text>
        <r>
          <rPr>
            <b/>
            <sz val="9"/>
            <color indexed="81"/>
            <rFont val="Tahoma"/>
            <family val="2"/>
          </rPr>
          <t>Oui/non</t>
        </r>
        <r>
          <rPr>
            <sz val="9"/>
            <color indexed="81"/>
            <rFont val="Tahoma"/>
            <family val="2"/>
          </rPr>
          <t xml:space="preserve">
</t>
        </r>
      </text>
    </comment>
    <comment ref="D29" authorId="0" shapeId="0">
      <text>
        <r>
          <rPr>
            <b/>
            <sz val="9"/>
            <color indexed="81"/>
            <rFont val="Tahoma"/>
            <family val="2"/>
          </rPr>
          <t xml:space="preserve">fuel, gaz naturel, propane,…
</t>
        </r>
        <r>
          <rPr>
            <sz val="9"/>
            <color indexed="81"/>
            <rFont val="Tahoma"/>
            <family val="2"/>
          </rPr>
          <t xml:space="preserve">
</t>
        </r>
        <r>
          <rPr>
            <b/>
            <sz val="9"/>
            <color indexed="81"/>
            <rFont val="Tahoma"/>
            <family val="2"/>
          </rPr>
          <t>Si l'énergie de chauffage est actuellement l'électricité, l'énergie de référence sera du fioul</t>
        </r>
      </text>
    </comment>
    <comment ref="A30" authorId="0" shapeId="0">
      <text>
        <r>
          <rPr>
            <b/>
            <sz val="9"/>
            <color indexed="81"/>
            <rFont val="Tahoma"/>
            <family val="2"/>
          </rPr>
          <t xml:space="preserve">Régie, affermage, concession…
</t>
        </r>
        <r>
          <rPr>
            <sz val="9"/>
            <color indexed="81"/>
            <rFont val="Tahoma"/>
            <family val="2"/>
          </rPr>
          <t xml:space="preserve">
</t>
        </r>
        <r>
          <rPr>
            <b/>
            <sz val="9"/>
            <color indexed="81"/>
            <rFont val="Tahoma"/>
            <family val="2"/>
          </rPr>
          <t>S'il est prévu la gestion par une personne interne à la structure et/ou une entreprise de maintenance, indiquer  "régie"</t>
        </r>
      </text>
    </comment>
    <comment ref="A32" authorId="1" shapeId="0">
      <text>
        <r>
          <rPr>
            <b/>
            <sz val="9"/>
            <color indexed="81"/>
            <rFont val="Tahoma"/>
            <family val="2"/>
          </rPr>
          <t>Une aide complémentaire est disponible dans la feuille "conso_batiments"</t>
        </r>
      </text>
    </comment>
    <comment ref="B33" authorId="1" shapeId="0">
      <text>
        <r>
          <rPr>
            <b/>
            <sz val="9"/>
            <color indexed="81"/>
            <rFont val="Tahoma"/>
            <family val="2"/>
          </rPr>
          <t xml:space="preserve">surface chauffée
De type SRT utilisée dans la RT2012
</t>
        </r>
      </text>
    </comment>
    <comment ref="C33" authorId="2" shapeId="0">
      <text>
        <r>
          <rPr>
            <b/>
            <sz val="9"/>
            <color indexed="81"/>
            <rFont val="Tahoma"/>
            <family val="2"/>
          </rPr>
          <t>(Fioul / Propane / gaz naturel…)</t>
        </r>
      </text>
    </comment>
    <comment ref="D33" authorId="0" shapeId="0">
      <text>
        <r>
          <rPr>
            <b/>
            <sz val="9"/>
            <color indexed="81"/>
            <rFont val="Tahoma"/>
            <family val="2"/>
          </rPr>
          <t>Consommation réaliste des bâtiments à la mise en service de l'installation bois, en énergie finale
 - en sortie des futures chaudières si pas de réseau
 - en sortie des échangeurs si création de réseau
Une aide complémentaire est disponible dans la feuille "Aide au calcul" pour estimer la consommation actuelle des bâtiments</t>
        </r>
      </text>
    </comment>
    <comment ref="E33" authorId="0" shapeId="0">
      <text>
        <r>
          <rPr>
            <b/>
            <sz val="9"/>
            <color indexed="81"/>
            <rFont val="Tahoma"/>
            <family val="2"/>
          </rPr>
          <t>Consommation réaliste des bâtiments à la mise en service de l'installation bois, en énergie finale
 - en sortie des futures chaudières si pas de réseau
 - en sortie des échangeurs si création de réseau
Une aide complémentaire est disponible dans la feuille "Aide au calcul" pour estimer la consommation actuelle des bâtiments</t>
        </r>
      </text>
    </comment>
    <comment ref="A54" authorId="1" shapeId="0">
      <text>
        <r>
          <rPr>
            <b/>
            <sz val="9"/>
            <color indexed="81"/>
            <rFont val="Tahoma"/>
            <family val="2"/>
          </rPr>
          <t>rendement annuel moyen si possible (rendement saisonnier)</t>
        </r>
      </text>
    </comment>
    <comment ref="E54" authorId="1" shapeId="0">
      <text>
        <r>
          <rPr>
            <b/>
            <sz val="9"/>
            <color indexed="81"/>
            <rFont val="Tahoma"/>
            <family val="2"/>
          </rPr>
          <t>rendement annuel moyen si possible (rendement saisonnier, Etas selon le règlement (EU) n° 813/2013)</t>
        </r>
      </text>
    </comment>
    <comment ref="A55" authorId="1" shapeId="0">
      <text>
        <r>
          <rPr>
            <b/>
            <sz val="9"/>
            <color indexed="81"/>
            <rFont val="Tahoma"/>
            <family val="2"/>
          </rPr>
          <t>Rendement des réseaux entre la sortie de(s) la chaudière(s) et la sortie des échangeurs de sous stations</t>
        </r>
      </text>
    </comment>
    <comment ref="E59" authorId="3" shapeId="0">
      <text>
        <r>
          <rPr>
            <b/>
            <sz val="9"/>
            <color indexed="81"/>
            <rFont val="Tahoma"/>
            <family val="2"/>
          </rPr>
          <t>Puissance totale moins puissance bois</t>
        </r>
      </text>
    </comment>
    <comment ref="A66" authorId="0" shapeId="0">
      <text>
        <r>
          <rPr>
            <b/>
            <sz val="9"/>
            <color indexed="81"/>
            <rFont val="Tahoma"/>
            <family val="2"/>
          </rPr>
          <t>Oui/non</t>
        </r>
        <r>
          <rPr>
            <sz val="9"/>
            <color indexed="81"/>
            <rFont val="Tahoma"/>
            <family val="2"/>
          </rPr>
          <t xml:space="preserve">
</t>
        </r>
      </text>
    </comment>
    <comment ref="A67" authorId="0" shapeId="0">
      <text>
        <r>
          <rPr>
            <b/>
            <sz val="9"/>
            <color indexed="81"/>
            <rFont val="Tahoma"/>
            <family val="2"/>
          </rPr>
          <t>polymère/acier</t>
        </r>
        <r>
          <rPr>
            <sz val="9"/>
            <color indexed="81"/>
            <rFont val="Tahoma"/>
            <family val="2"/>
          </rPr>
          <t xml:space="preserve">
</t>
        </r>
      </text>
    </comment>
    <comment ref="A68" authorId="0" shapeId="0">
      <text>
        <r>
          <rPr>
            <b/>
            <sz val="9"/>
            <color indexed="81"/>
            <rFont val="Tahoma"/>
            <family val="2"/>
          </rPr>
          <t>réseau existant éventuel + nouveau réseau
Distance aller du réseau, de la chaufferie aux sous-stations</t>
        </r>
      </text>
    </comment>
    <comment ref="A69" authorId="0" shapeId="0">
      <text>
        <r>
          <rPr>
            <b/>
            <sz val="9"/>
            <color indexed="81"/>
            <rFont val="Tahoma"/>
            <family val="2"/>
          </rPr>
          <t xml:space="preserve">si extension ou réseau neuf
</t>
        </r>
        <r>
          <rPr>
            <sz val="9"/>
            <color indexed="81"/>
            <rFont val="Tahoma"/>
            <family val="2"/>
          </rPr>
          <t xml:space="preserve">
</t>
        </r>
        <r>
          <rPr>
            <b/>
            <sz val="9"/>
            <color indexed="81"/>
            <rFont val="Tahoma"/>
            <family val="2"/>
          </rPr>
          <t>Distance aller du réseau, de la chaufferie aux sous-stations</t>
        </r>
      </text>
    </comment>
    <comment ref="A70" authorId="1" shapeId="0">
      <text>
        <r>
          <rPr>
            <b/>
            <sz val="9"/>
            <color indexed="81"/>
            <rFont val="Tahoma"/>
            <family val="2"/>
          </rPr>
          <t>FERRAND Nicolas:</t>
        </r>
        <r>
          <rPr>
            <sz val="9"/>
            <color indexed="81"/>
            <rFont val="Tahoma"/>
            <family val="2"/>
          </rPr>
          <t xml:space="preserve">
&lt; 1500 : mauvais
&gt; 3000 : bon</t>
        </r>
      </text>
    </comment>
    <comment ref="E70" authorId="3" shapeId="0">
      <text>
        <r>
          <rPr>
            <b/>
            <sz val="9"/>
            <color indexed="81"/>
            <rFont val="Tahoma"/>
            <family val="2"/>
          </rPr>
          <t>minimum : 
15 l/kW bois</t>
        </r>
      </text>
    </comment>
    <comment ref="E74" authorId="1" shapeId="0">
      <text>
        <r>
          <rPr>
            <b/>
            <sz val="9"/>
            <color indexed="81"/>
            <rFont val="Tahoma"/>
            <family val="2"/>
          </rPr>
          <t xml:space="preserve"> calcul : 
colonne B / (densité énergétique en kWh/Tonne). 
Exemple granulés : 78/4,8</t>
        </r>
      </text>
    </comment>
    <comment ref="G74" authorId="0" shapeId="0">
      <text>
        <r>
          <rPr>
            <b/>
            <sz val="9"/>
            <color indexed="81"/>
            <rFont val="Tahoma"/>
            <family val="2"/>
          </rPr>
          <t>Classification du Cibe</t>
        </r>
        <r>
          <rPr>
            <sz val="9"/>
            <color indexed="81"/>
            <rFont val="Tahoma"/>
            <family val="2"/>
          </rPr>
          <t xml:space="preserve">
</t>
        </r>
        <r>
          <rPr>
            <b/>
            <sz val="9"/>
            <color indexed="81"/>
            <rFont val="Tahoma"/>
            <family val="2"/>
          </rPr>
          <t>C1/C2/C3/C4/C5</t>
        </r>
      </text>
    </comment>
    <comment ref="A83" authorId="1" shapeId="0">
      <text>
        <r>
          <rPr>
            <b/>
            <sz val="9"/>
            <color indexed="81"/>
            <rFont val="Tahoma"/>
            <family val="2"/>
          </rPr>
          <t>par défaut, prendre B82 x 0,01</t>
        </r>
      </text>
    </comment>
    <comment ref="A87" authorId="1" shapeId="0">
      <text>
        <r>
          <rPr>
            <b/>
            <sz val="9"/>
            <color indexed="81"/>
            <rFont val="Tahoma"/>
            <family val="2"/>
          </rPr>
          <t>L’investissement bois éligible intègre les coûts liés à l'ingénierie, aux travaux portant sur l'installation bois (équipement, génie civil et VRD liés à la chaufferie et au stockage, la chaudière d’appoint), au comptage obligatoire et au matériel de suivi de l'installation.</t>
        </r>
      </text>
    </comment>
    <comment ref="A98" authorId="1" shapeId="0">
      <text>
        <r>
          <rPr>
            <b/>
            <sz val="9"/>
            <color indexed="81"/>
            <rFont val="Tahoma"/>
            <family val="2"/>
          </rPr>
          <t>si l'installation actuelle est électrique ou une nouvelle chaufferie : chiffrer une chaufferie fioul neuve
Si l'installation actuelle est fioul ou gaz, chiffrer une amélioration sérieuse de la solution actuelle.</t>
        </r>
      </text>
    </comment>
    <comment ref="A100" authorId="0" shapeId="0">
      <text>
        <r>
          <rPr>
            <b/>
            <sz val="9"/>
            <color indexed="81"/>
            <rFont val="Tahoma"/>
            <family val="2"/>
          </rPr>
          <t>montant équivalent entre solution bois et solution comparative
le réseau de distribution interne aux bâtiments (voir schémas) ne sont pas éligibles, sauf cas entrant dans la bonification CPER</t>
        </r>
      </text>
    </comment>
    <comment ref="D105" authorId="3" shapeId="0">
      <text>
        <r>
          <rPr>
            <b/>
            <sz val="9"/>
            <color indexed="81"/>
            <rFont val="Tahoma"/>
            <family val="2"/>
          </rPr>
          <t>Se faire appuyer par son accompagnateur et/ou son AMO / maitre d'œuvre pour cette partie</t>
        </r>
        <r>
          <rPr>
            <sz val="9"/>
            <color indexed="81"/>
            <rFont val="Tahoma"/>
            <family val="2"/>
          </rPr>
          <t xml:space="preserve">
</t>
        </r>
      </text>
    </comment>
    <comment ref="A106" authorId="1" shapeId="0">
      <text>
        <r>
          <rPr>
            <b/>
            <sz val="9"/>
            <color indexed="81"/>
            <rFont val="Tahoma"/>
            <family val="2"/>
          </rPr>
          <t>estimation à valider par la Région</t>
        </r>
      </text>
    </comment>
    <comment ref="B123" authorId="1" shapeId="0">
      <text>
        <r>
          <rPr>
            <b/>
            <sz val="9"/>
            <color indexed="81"/>
            <rFont val="Tahoma"/>
            <family val="2"/>
          </rPr>
          <t>par défaut : somme(G88:G94)/nombre d'année de durée de vie moyenne de l'installation.
Assistance dans la feuille "Aide au calcul"</t>
        </r>
      </text>
    </comment>
    <comment ref="A125" authorId="0" shapeId="0">
      <text>
        <r>
          <rPr>
            <b/>
            <sz val="9"/>
            <color indexed="81"/>
            <rFont val="Tahoma"/>
            <family val="2"/>
          </rPr>
          <t>Economie annuelle d'exploitation / référence = (P1+P1'+P2 +P3)ref - (P1+P1'+P2+P3)bois</t>
        </r>
        <r>
          <rPr>
            <sz val="9"/>
            <color indexed="81"/>
            <rFont val="Tahoma"/>
            <family val="2"/>
          </rPr>
          <t xml:space="preserve">
</t>
        </r>
      </text>
    </comment>
    <comment ref="E126" authorId="1" shapeId="0">
      <text>
        <r>
          <rPr>
            <b/>
            <sz val="9"/>
            <color indexed="81"/>
            <rFont val="Tahoma"/>
            <family val="2"/>
          </rPr>
          <t>par défaut, prendre
"total éligible solution bois" (G97) / nombre d'année d'amortissement (durée du prêt)</t>
        </r>
      </text>
    </comment>
    <comment ref="G126" authorId="1" shapeId="0">
      <text>
        <r>
          <rPr>
            <b/>
            <sz val="9"/>
            <color indexed="81"/>
            <rFont val="Tahoma"/>
            <family val="2"/>
          </rPr>
          <t>par défaut, prendre
"total solution de référence" (G98) / nombre d'année d'amortissement (durée du prêt)</t>
        </r>
      </text>
    </comment>
    <comment ref="G129" authorId="4" shapeId="0">
      <text>
        <r>
          <rPr>
            <b/>
            <sz val="9"/>
            <color indexed="81"/>
            <rFont val="Tahoma"/>
            <family val="2"/>
          </rPr>
          <t>Coûts fonctionnement annuels (P1 + P2 + P3 + P4) divisé par la Consommation bois</t>
        </r>
      </text>
    </comment>
    <comment ref="A130" authorId="1" shapeId="0">
      <text>
        <r>
          <rPr>
            <b/>
            <sz val="9"/>
            <color indexed="81"/>
            <rFont val="Tahoma"/>
            <family val="2"/>
          </rPr>
          <t>A remplir uniquement si création d'un réseau de chaleur avec vente de chaleur (réseau au sens fiscal ou réseau public)</t>
        </r>
      </text>
    </comment>
    <comment ref="A137" authorId="0" shapeId="0">
      <text>
        <r>
          <rPr>
            <b/>
            <sz val="9"/>
            <color indexed="81"/>
            <rFont val="Tahoma"/>
            <family val="2"/>
          </rPr>
          <t>aucun, type cyclonique, filtre à manche, électrofiltres, ...</t>
        </r>
        <r>
          <rPr>
            <sz val="9"/>
            <color indexed="81"/>
            <rFont val="Tahoma"/>
            <family val="2"/>
          </rPr>
          <t xml:space="preserve">
</t>
        </r>
      </text>
    </comment>
    <comment ref="D137" authorId="1" shapeId="0">
      <text>
        <r>
          <rPr>
            <b/>
            <sz val="9"/>
            <color indexed="81"/>
            <rFont val="Tahoma"/>
            <family val="2"/>
          </rPr>
          <t>Caractéristique de la chaudière</t>
        </r>
      </text>
    </comment>
    <comment ref="A138" authorId="0" shapeId="0">
      <text>
        <r>
          <rPr>
            <b/>
            <sz val="9"/>
            <color indexed="81"/>
            <rFont val="Tahoma"/>
            <family val="2"/>
          </rPr>
          <t>1 tep = 11630 kWh</t>
        </r>
        <r>
          <rPr>
            <sz val="9"/>
            <color indexed="81"/>
            <rFont val="Tahoma"/>
            <family val="2"/>
          </rPr>
          <t xml:space="preserve">
</t>
        </r>
      </text>
    </comment>
  </commentList>
</comments>
</file>

<file path=xl/comments3.xml><?xml version="1.0" encoding="utf-8"?>
<comments xmlns="http://schemas.openxmlformats.org/spreadsheetml/2006/main">
  <authors>
    <author>FERRAND Nicolas</author>
    <author>benjamin</author>
  </authors>
  <commentList>
    <comment ref="D6" authorId="0" shapeId="0">
      <text>
        <r>
          <rPr>
            <b/>
            <sz val="9"/>
            <color indexed="81"/>
            <rFont val="Tahoma"/>
            <family val="2"/>
          </rPr>
          <t>Consommation moyenne annuelle
moyenne sur 3 ans et corrigé du climat si possible</t>
        </r>
      </text>
    </comment>
    <comment ref="E6" authorId="0" shapeId="0">
      <text>
        <r>
          <rPr>
            <b/>
            <sz val="9"/>
            <color indexed="81"/>
            <rFont val="Tahoma"/>
            <family val="2"/>
          </rPr>
          <t>électricité : 1
Propane : 12,8 kWh/kg
Propane : 12 800 kWh/T
Propane : 23,70 kWh/m3
Fioul : 10 kWh / l
gaz de réseau : 11,4 kWh/m3
compteur sortie de chaudière : 1</t>
        </r>
      </text>
    </comment>
    <comment ref="G6" authorId="0" shapeId="0">
      <text>
        <r>
          <rPr>
            <b/>
            <sz val="9"/>
            <color indexed="81"/>
            <rFont val="Tahoma"/>
            <family val="2"/>
          </rPr>
          <t>FERRAND Nicolas:</t>
        </r>
        <r>
          <rPr>
            <sz val="9"/>
            <color indexed="81"/>
            <rFont val="Tahoma"/>
            <family val="2"/>
          </rPr>
          <t xml:space="preserve">
</t>
        </r>
        <r>
          <rPr>
            <b/>
            <sz val="9"/>
            <color indexed="81"/>
            <rFont val="Tahoma"/>
            <family val="2"/>
          </rPr>
          <t xml:space="preserve">fioul ou gaz :
</t>
        </r>
        <r>
          <rPr>
            <sz val="9"/>
            <color indexed="81"/>
            <rFont val="Tahoma"/>
            <family val="2"/>
          </rPr>
          <t>entre 70 et 90 %</t>
        </r>
        <r>
          <rPr>
            <b/>
            <sz val="9"/>
            <color indexed="81"/>
            <rFont val="Tahoma"/>
            <family val="2"/>
          </rPr>
          <t xml:space="preserve">
électricité : 
=</t>
        </r>
        <r>
          <rPr>
            <sz val="9"/>
            <color indexed="81"/>
            <rFont val="Tahoma"/>
            <family val="2"/>
          </rPr>
          <t>1/(rendement de la future distribution hydraulique)
Valeur par défaut : 110 %</t>
        </r>
      </text>
    </comment>
    <comment ref="J6" authorId="1" shapeId="0">
      <text>
        <r>
          <rPr>
            <b/>
            <sz val="9"/>
            <color indexed="81"/>
            <rFont val="Tahoma"/>
            <family val="2"/>
          </rPr>
          <t>chiffres à mettre en colonne D de la fiche de synthèse
 (D34 à D49)</t>
        </r>
      </text>
    </comment>
    <comment ref="K6" authorId="1" shapeId="0">
      <text>
        <r>
          <rPr>
            <b/>
            <sz val="9"/>
            <color indexed="81"/>
            <rFont val="Tahoma"/>
            <family val="2"/>
          </rPr>
          <t>chiffres à mettre en colonne E de la fiche de synthèse
 (E34 à E49)</t>
        </r>
      </text>
    </comment>
    <comment ref="G23" authorId="0" shapeId="0">
      <text>
        <r>
          <rPr>
            <b/>
            <sz val="9"/>
            <color indexed="81"/>
            <rFont val="Tahoma"/>
            <family val="2"/>
          </rPr>
          <t>moyenne pondérée</t>
        </r>
      </text>
    </comment>
  </commentList>
</comments>
</file>

<file path=xl/sharedStrings.xml><?xml version="1.0" encoding="utf-8"?>
<sst xmlns="http://schemas.openxmlformats.org/spreadsheetml/2006/main" count="706" uniqueCount="486">
  <si>
    <t>unités</t>
  </si>
  <si>
    <t>Thermique</t>
  </si>
  <si>
    <t>Puissance globale de l'installation</t>
  </si>
  <si>
    <t>kW</t>
  </si>
  <si>
    <t>Puissance Bois</t>
  </si>
  <si>
    <t>MWh PCI</t>
  </si>
  <si>
    <t>ml</t>
  </si>
  <si>
    <t>%</t>
  </si>
  <si>
    <t>jours</t>
  </si>
  <si>
    <t>Largeur de la trappe du silo</t>
  </si>
  <si>
    <t>m</t>
  </si>
  <si>
    <t>cm</t>
  </si>
  <si>
    <t>Approvisionnement</t>
  </si>
  <si>
    <t>Valeurs de référence</t>
  </si>
  <si>
    <t>h</t>
  </si>
  <si>
    <t>Type de bac à cendres pour évacuation</t>
  </si>
  <si>
    <t>m³</t>
  </si>
  <si>
    <t>Pente de la voie d'accès au silo dans le sens de circulation</t>
  </si>
  <si>
    <t>Pente de la voie d'accès au silo dans le sens transversal à la circultation</t>
  </si>
  <si>
    <t>Dégagement en hauteur de la voie d'accès</t>
  </si>
  <si>
    <t xml:space="preserve">Zone de dégagement suffisante pour faire tourner un camion en une fois </t>
  </si>
  <si>
    <t>Entrée et sortie du camion sur le site en marche avant</t>
  </si>
  <si>
    <t>Saisie</t>
  </si>
  <si>
    <t>Présences de butées pour l'arrêt du camion</t>
  </si>
  <si>
    <t>Point vérifié</t>
  </si>
  <si>
    <t>X</t>
  </si>
  <si>
    <t>Volume du moyen de livraison envisagé</t>
  </si>
  <si>
    <t>Volume utile du silo (théorique)</t>
  </si>
  <si>
    <t>Le silo est muni d'une grille anti chute</t>
  </si>
  <si>
    <t>Le livreur peut ouvrir les portes arrières de la benne au dessus du silo</t>
  </si>
  <si>
    <t>Choisir</t>
  </si>
  <si>
    <t>Longeur de la trappe</t>
  </si>
  <si>
    <t>Largeur de la trappe</t>
  </si>
  <si>
    <t>Rapport volume utile/volume total</t>
  </si>
  <si>
    <t>Système de remplissage du silo</t>
  </si>
  <si>
    <t>Largeur minimale de la voie d'accès au silo</t>
  </si>
  <si>
    <t>Pente de la voie d'accès dans le sens transversal à la circulation</t>
  </si>
  <si>
    <t>Pente de la voie d'accès dans le sens de la circulation</t>
  </si>
  <si>
    <t>Sans Objet</t>
  </si>
  <si>
    <t>Démarche Qualité Chaufferie Bois-énergie (DQCB)</t>
  </si>
  <si>
    <t xml:space="preserve"> Les Communes forestières Provence-Alpes-Côtes d'Azur animent la Mission Régionale Bois-énergie Provence-Alpes-Côtes d'Azur</t>
  </si>
  <si>
    <t xml:space="preserve"> Les Communes forestières Provence-Alpes-Côtes d'Azur 
animent la Mission Régionale Bois-énergie Provence-Alpes-Côtes d'Azur</t>
  </si>
  <si>
    <t>VOIE D'ACCES AU SILO</t>
  </si>
  <si>
    <t>Oui</t>
  </si>
  <si>
    <t>Non</t>
  </si>
  <si>
    <t>Liste de choix "Oui/non"</t>
  </si>
  <si>
    <t>Liste de choix "Validé/Pas Validé"</t>
  </si>
  <si>
    <t>Configuration de la chaufferie</t>
  </si>
  <si>
    <t>Enterrée</t>
  </si>
  <si>
    <t>Configuration du silo</t>
  </si>
  <si>
    <t>TRAPPE</t>
  </si>
  <si>
    <t xml:space="preserve">Volume total du silo </t>
  </si>
  <si>
    <t>Volume utile du silo</t>
  </si>
  <si>
    <t>Autonomie du silo</t>
  </si>
  <si>
    <t>La grille anti-chute, dans le silo, supporte le poids de la livraison</t>
  </si>
  <si>
    <t>MWh/ml</t>
  </si>
  <si>
    <t>Type de combustible</t>
  </si>
  <si>
    <t xml:space="preserve">Donc, PCI de </t>
  </si>
  <si>
    <t>kWh/t</t>
  </si>
  <si>
    <t>Tonnage de bois prévu</t>
  </si>
  <si>
    <t>tonnes/an</t>
  </si>
  <si>
    <t>Tonnage de bois (calculé)</t>
  </si>
  <si>
    <t>Investissement</t>
  </si>
  <si>
    <t>Solution de référence (total)</t>
  </si>
  <si>
    <t>Unités</t>
  </si>
  <si>
    <t>Longueur de la trappe du silo</t>
  </si>
  <si>
    <t>Courbe d'appel de puissance réalisée et analysée ?</t>
  </si>
  <si>
    <t>Coût global chaufferie</t>
  </si>
  <si>
    <t>Type de dessileur</t>
  </si>
  <si>
    <t>Ventilation chaufferie et local technique conforme à la norme en vigueur</t>
  </si>
  <si>
    <t>Inondabilité en cas de fortes pluies</t>
  </si>
  <si>
    <t>Conception Silo</t>
  </si>
  <si>
    <t>CONCEPTION DU SILO</t>
  </si>
  <si>
    <t>Conception Chaufferie</t>
  </si>
  <si>
    <t>Temps de livraison du combustible estimé</t>
  </si>
  <si>
    <t>C2 (P45/63 et M 30/40)</t>
  </si>
  <si>
    <t>C3 (P63/125 et M 35/45)</t>
  </si>
  <si>
    <t>C4 (P100/200 et M10/20)</t>
  </si>
  <si>
    <t>C5 (P100/200 et M40/55)</t>
  </si>
  <si>
    <t>C1 (P16/45 A et M 15/25-30)</t>
  </si>
  <si>
    <t>C6 (Spécifique forte puissance)</t>
  </si>
  <si>
    <t>Usage de la chaleur produite</t>
  </si>
  <si>
    <t>Chauffage uniquement</t>
  </si>
  <si>
    <t>Chauffage et Eau chaude Sanitaire</t>
  </si>
  <si>
    <t>Process</t>
  </si>
  <si>
    <t>Usage chaleur</t>
  </si>
  <si>
    <t>La hauteur et l'emplacement de la cheminée respectent le DTU 24.1</t>
  </si>
  <si>
    <t>Intégration paysagère du conduit de fumée (visuel, périmètre classé, etc.)</t>
  </si>
  <si>
    <t>Bac à roulettes</t>
  </si>
  <si>
    <t>Bac Manutentionable</t>
  </si>
  <si>
    <t>Sans objet</t>
  </si>
  <si>
    <t>Type de bac à cendres</t>
  </si>
  <si>
    <t>Surface chaufferie</t>
  </si>
  <si>
    <t>m²</t>
  </si>
  <si>
    <t xml:space="preserve">Système de filtration des fumées ? </t>
  </si>
  <si>
    <t>Prise en compte de la qualité de l'air ?</t>
  </si>
  <si>
    <t>Filtres à manches</t>
  </si>
  <si>
    <t>Electrofiltres</t>
  </si>
  <si>
    <t>Multicyclones</t>
  </si>
  <si>
    <t>Mode de remplissage du silo</t>
  </si>
  <si>
    <t>Bennage direct</t>
  </si>
  <si>
    <t>Bac de transfert avec 1 vis verticale</t>
  </si>
  <si>
    <t>Bac de transfert avec 1 vis sans fin inclinées</t>
  </si>
  <si>
    <t>Bac de transfert avec 2 vis sans fin inclinées</t>
  </si>
  <si>
    <t>Type de dessilage</t>
  </si>
  <si>
    <t>Dessileur rotatif</t>
  </si>
  <si>
    <t>Fond racleur</t>
  </si>
  <si>
    <t>Autre</t>
  </si>
  <si>
    <t>minutes</t>
  </si>
  <si>
    <t>Prise en compte des rayons de giration des camions dans les voies d'accès</t>
  </si>
  <si>
    <t>Hauteur de dégagement de la voie d'accès au silo</t>
  </si>
  <si>
    <t>Régulation ECS</t>
  </si>
  <si>
    <t>Type de régulation</t>
  </si>
  <si>
    <t>Présence d'un ballon tampon ?</t>
  </si>
  <si>
    <t>Taux de couverture bois</t>
  </si>
  <si>
    <t>Densité thermique</t>
  </si>
  <si>
    <t>Listes déroulantes de choix</t>
  </si>
  <si>
    <t>Densité themique (calculée)</t>
  </si>
  <si>
    <t>Coût global chaufferie (calculé théorique)</t>
  </si>
  <si>
    <t>Coût global réseau (calculé théorique)</t>
  </si>
  <si>
    <t>Total réel (calculé théorique)</t>
  </si>
  <si>
    <t>Solution de référence (calculé théorique)</t>
  </si>
  <si>
    <t>Consommation annuelle totale (entrée chaudière)</t>
  </si>
  <si>
    <t>Consommation annuelle de bois (entrée chaudière)</t>
  </si>
  <si>
    <t>Valeur d'humidité maximale envisagée du combustible</t>
  </si>
  <si>
    <t>Type de camion de livraison envisagé</t>
  </si>
  <si>
    <t>Camion plateau</t>
  </si>
  <si>
    <t>Tracteur-remorque</t>
  </si>
  <si>
    <t>Camion polybenne</t>
  </si>
  <si>
    <t>Camion polybenne + remroque</t>
  </si>
  <si>
    <t>Camion semi-remorque</t>
  </si>
  <si>
    <t>Autres</t>
  </si>
  <si>
    <t>Camion souffleur</t>
  </si>
  <si>
    <t>ans</t>
  </si>
  <si>
    <t>€HT/kW</t>
  </si>
  <si>
    <t>Temps d’utilisation pleine puissance de la chaudière bois</t>
  </si>
  <si>
    <t>heures</t>
  </si>
  <si>
    <t>Démarche Qualité Chaufferie 
Bois-énergie (DQCB)</t>
  </si>
  <si>
    <t>Cadre et objectif de la démarche</t>
  </si>
  <si>
    <t>Mode d'emploi</t>
  </si>
  <si>
    <t>Hors sol</t>
  </si>
  <si>
    <t>Semi-enterrée</t>
  </si>
  <si>
    <t>Surface chaufferie théorique</t>
  </si>
  <si>
    <t>Saisir la valeur</t>
  </si>
  <si>
    <t>Systèmes de filtration des fumées</t>
  </si>
  <si>
    <t>Soufflage</t>
  </si>
  <si>
    <t>Consultation combustible</t>
  </si>
  <si>
    <t>2 devis</t>
  </si>
  <si>
    <t>1 devis</t>
  </si>
  <si>
    <t>Plus de 2 devis</t>
  </si>
  <si>
    <t>Aucun devis</t>
  </si>
  <si>
    <t>Un accès au silo pour la maintenance est prévue (par la grille anti chute ou autre)</t>
  </si>
  <si>
    <t>Avez-vous consulté (devis) le prix du combustible ?</t>
  </si>
  <si>
    <t>Avez-vous pris contact avec un fournisseur potentiel ?</t>
  </si>
  <si>
    <t>Puissance Chaufferie &gt; 2000 kW =&gt; Nécessité de respecter la classification ICPE</t>
  </si>
  <si>
    <t>Puissance chaufferie &gt; 70 kW =&gt; Nécessité d'être en conformité avec arrêté du 23 juin 1978</t>
  </si>
  <si>
    <t>Formule Calcul PCI bois : (PCI Anhydre 5330 x (100-Humudité)/100)-6,7861*Humidité</t>
  </si>
  <si>
    <t>Pente maxi pour sortie du bac à cendres à roulettes</t>
  </si>
  <si>
    <t>A valider avec Maitre d'ouvrage</t>
  </si>
  <si>
    <t>Formule surface chaufferie théorique : 0,025*Ptotale+34 (issu de l'analyse de l'Observatoire Bois-énergie)</t>
  </si>
  <si>
    <t>Surface minimale de chaufferie</t>
  </si>
  <si>
    <t>Autonomie minimale du silo</t>
  </si>
  <si>
    <t>Durée acceptable de livraison</t>
  </si>
  <si>
    <t>Ces valeurs ne peuvent pas être modifiées. Il s'agit de valeurs dite "de référence" convenu par l'ensemble de la profession dans le cadre de la démarche qualité chaufferie.</t>
  </si>
  <si>
    <t>Conception chaufferie</t>
  </si>
  <si>
    <t>Conception silo</t>
  </si>
  <si>
    <t>Voie accès au silo</t>
  </si>
  <si>
    <t>Pbois (kW) supérieur à</t>
  </si>
  <si>
    <t>Pbois (kW) inférieur à</t>
  </si>
  <si>
    <t xml:space="preserve"> Les Communes forestières Provence-Alpes-Côtes d'Azur
animent la Mission Régionale Bois-énergie Provence-Alpes-Côtes d'Azur</t>
  </si>
  <si>
    <t>Hauteur mini entre sol et trappe</t>
  </si>
  <si>
    <t>Hauteur maxi entre sol et trappe</t>
  </si>
  <si>
    <t>Profondeur du silo</t>
  </si>
  <si>
    <t>Profondeur maximale du silo</t>
  </si>
  <si>
    <t>Justifications vis-à-vis de la vérification</t>
  </si>
  <si>
    <t>Eléments de vérification</t>
  </si>
  <si>
    <t>Réf.</t>
  </si>
  <si>
    <t>Lien avec Réf.</t>
  </si>
  <si>
    <t>€HT</t>
  </si>
  <si>
    <t>Est-ce que la chaudière bois fonctionne l'été ?</t>
  </si>
  <si>
    <t>Régulation Chaudière</t>
  </si>
  <si>
    <t>Régulation pilotée par les besoins</t>
  </si>
  <si>
    <t>Pas de régulation</t>
  </si>
  <si>
    <t>La(es) trappe(s) peut(vent) s'ouvrir (techniquement et sans danger) en cas d'intempéries (vent, neige, etc.)</t>
  </si>
  <si>
    <t>Rendement Réseau de chaleur</t>
  </si>
  <si>
    <t>Nombre de trappes sur le silo</t>
  </si>
  <si>
    <t>Nb livraisons/an maxi de 0 à 150 kW bois</t>
  </si>
  <si>
    <t>Nb livraisons/an maxi de 150 à 500 kW bois</t>
  </si>
  <si>
    <t>Nb livraisons/an maxi de 500 à 1 000 kW bois</t>
  </si>
  <si>
    <t>Nb livraisons/an maxi pour 150 kW bois</t>
  </si>
  <si>
    <t>Nombre de livraisons sur l'année (calculé)</t>
  </si>
  <si>
    <t>Container</t>
  </si>
  <si>
    <t>Coût au kW bois</t>
  </si>
  <si>
    <t>Temps de retour brut sur investissement</t>
  </si>
  <si>
    <t>Administratif</t>
  </si>
  <si>
    <t>Description succinte du projet</t>
  </si>
  <si>
    <t>Autres (à préciser)</t>
  </si>
  <si>
    <t>Configuration silo</t>
  </si>
  <si>
    <t>Etape à laquelle les données ont été saisies</t>
  </si>
  <si>
    <t>Etape de saisie</t>
  </si>
  <si>
    <t>Demande de subvention Etude faisabilité</t>
  </si>
  <si>
    <t>Demande de solde de subvention Etude faisabilité</t>
  </si>
  <si>
    <t>Demande de subention Investissement</t>
  </si>
  <si>
    <t>Pré-analyse</t>
  </si>
  <si>
    <t>Rendement minimum de réseau</t>
  </si>
  <si>
    <t>Rendement maximum de réseau</t>
  </si>
  <si>
    <t>Rendement nominal de la Chaufferie</t>
  </si>
  <si>
    <t>Déquote sur rendement nominal de chaudière bois</t>
  </si>
  <si>
    <t>Ratio pour dimensionnement du ballon tampon</t>
  </si>
  <si>
    <t>litres/kW</t>
  </si>
  <si>
    <t>litres</t>
  </si>
  <si>
    <t>Date de saisie des données</t>
  </si>
  <si>
    <t>Nom du projet</t>
  </si>
  <si>
    <t>Commune de situation du projet</t>
  </si>
  <si>
    <t xml:space="preserve">Chaudière bien dimensionnée si nombre d'heures de fonctionnement supérieur à </t>
  </si>
  <si>
    <t xml:space="preserve">Chaudière acceptable si nombre d'heures de fonctionnement supérieur à </t>
  </si>
  <si>
    <t>Présence d'un système de comptage d'énergie produite sur chaque chaudière ?</t>
  </si>
  <si>
    <t>Présence de garde-corps sur les côtés non protégés par la(es) trappe(s) ou le camion</t>
  </si>
  <si>
    <t>Hauteur de la (des) trappe(s) par rapport au niveau du sol</t>
  </si>
  <si>
    <t>Ramonage du conduit de cheminée possible en une seule fois ?</t>
  </si>
  <si>
    <t>Configuration chaufferie</t>
  </si>
  <si>
    <t>Enterré</t>
  </si>
  <si>
    <t>Semi-enterré</t>
  </si>
  <si>
    <t>Aspiration</t>
  </si>
  <si>
    <t>kWh/ml</t>
  </si>
  <si>
    <t>Possibilité de lever la benne en totalité pour la livraison (hauteur et dégagement)</t>
  </si>
  <si>
    <t>Largeur de la voie d'accès (dont portail)</t>
  </si>
  <si>
    <t>Total éligible aux financements publics</t>
  </si>
  <si>
    <t>Total réél du projet</t>
  </si>
  <si>
    <t>Coût du MWh TTC fourni</t>
  </si>
  <si>
    <t>Coût du MWh TTC fourni mini</t>
  </si>
  <si>
    <t>Coût du MWh TTC fourni maxi</t>
  </si>
  <si>
    <t>€TTC/MWh</t>
  </si>
  <si>
    <t xml:space="preserve">A compléter par le maitre d’ouvrage ou son AMO ou BET </t>
  </si>
  <si>
    <t>€TTC/MWh fourni</t>
  </si>
  <si>
    <t>Rendement gobal corrigé entrée sous stations</t>
  </si>
  <si>
    <t>Pour mémoire, aucune remarque dans cette fiche n'est rédibitoire. Il s'agit de ratios et de critères d'alertes qui ont pour vocation de soulever des questionnements aux concepteurs et Maitres d'ouvrages pour s'assurer d'une bonne conception de l'installation. Chaque "Elements de vérification" peut donc être argumenté pour justifier de ses choix.</t>
  </si>
  <si>
    <t>Organisme qui a saisi</t>
  </si>
  <si>
    <t>Nom et prénom de la personne qui a saisi</t>
  </si>
  <si>
    <t>Téléphone de la personne qui a saisi</t>
  </si>
  <si>
    <t>Mail de la personne qui a saisi</t>
  </si>
  <si>
    <t>Autonomie du silo (calculé avec chaudière en fonctionnement permanent à 60%)</t>
  </si>
  <si>
    <t xml:space="preserve">FICHE DE SYNTHESE  DU PROJET BOIS
</t>
  </si>
  <si>
    <t>Aide pour remplir la fiche de synthèse</t>
  </si>
  <si>
    <t>Fiche complétée pour la remise du rapport de l'étude de faisabilité (oui/non) :</t>
  </si>
  <si>
    <t>Fiche complétée pour la demande d'aide à l'investissement (oui/non) :</t>
  </si>
  <si>
    <t xml:space="preserve">Les délais entre l'étude et la demande d'aide à l'investissement peuvent avoir une incidence sur le coût </t>
  </si>
  <si>
    <t>Les triangles rouges en haut à droite des cases permettent d'obtenir une aide.</t>
  </si>
  <si>
    <t>du projet et notamment sur les coûts d'exploitation (solution bois et solution de référence)</t>
  </si>
  <si>
    <t>Passer simplement le pointeur de la souris sur la case en question.</t>
  </si>
  <si>
    <t>INFORMATIONS ADMINISTRATIVES (Maître d'ouvrage)</t>
  </si>
  <si>
    <t>Raison sociale (si industrie)</t>
  </si>
  <si>
    <t>Notes</t>
  </si>
  <si>
    <t>Code siret</t>
  </si>
  <si>
    <t xml:space="preserve">Critère CPER : </t>
  </si>
  <si>
    <t>Territoire</t>
  </si>
  <si>
    <t>ACTEURS</t>
  </si>
  <si>
    <t>Téléphone</t>
  </si>
  <si>
    <t>Nom du référent</t>
  </si>
  <si>
    <t>Architecte</t>
  </si>
  <si>
    <t>Critère Fond Chaleur :</t>
  </si>
  <si>
    <t>Note d'opportunité</t>
  </si>
  <si>
    <t xml:space="preserve">Pour les installations au dessus de 1200MWh de conso : appel annuel </t>
  </si>
  <si>
    <t>Etude de faisabilité</t>
  </si>
  <si>
    <t>INFORMATIONS GENERALES</t>
  </si>
  <si>
    <t>Date prévue mise en service</t>
  </si>
  <si>
    <t xml:space="preserve">Zone climatique </t>
  </si>
  <si>
    <t>Solution de référence</t>
  </si>
  <si>
    <t xml:space="preserve">Mode de gestion prévu : </t>
  </si>
  <si>
    <t>Description du Bâti</t>
  </si>
  <si>
    <t>Bâtiment</t>
  </si>
  <si>
    <t>Energie actuelle</t>
  </si>
  <si>
    <t>TOTAL</t>
  </si>
  <si>
    <t>Chaudière bois</t>
  </si>
  <si>
    <t>DESCRIPTION SOLUTION BOIS</t>
  </si>
  <si>
    <t xml:space="preserve">Puissance totale </t>
  </si>
  <si>
    <t xml:space="preserve">Puissance appoint/secours </t>
  </si>
  <si>
    <t>Puissance bois installée</t>
  </si>
  <si>
    <t>Combustible appoint</t>
  </si>
  <si>
    <t>SCHEMA 1 : INSTALLATION AVEC RESEAU DE CHALEUR DISTRIBUANT PLUSIEURS BATIMENTS AVEC SOUS STATIONS</t>
  </si>
  <si>
    <t>Type de chaufferie</t>
  </si>
  <si>
    <t>Volume chauffé</t>
  </si>
  <si>
    <t>Volume du ballon tampon</t>
  </si>
  <si>
    <t>Type de silo</t>
  </si>
  <si>
    <t>Surface silo</t>
  </si>
  <si>
    <t>Autonomie silo en plein hiver</t>
  </si>
  <si>
    <t xml:space="preserve">Volume utile silo </t>
  </si>
  <si>
    <t>Nombre de sous-stations</t>
  </si>
  <si>
    <t>Production froid bois</t>
  </si>
  <si>
    <t>Type de réseau</t>
  </si>
  <si>
    <t>Réseau sur enrobé</t>
  </si>
  <si>
    <t>Longueur réseau totale</t>
  </si>
  <si>
    <t>Longueur réseau à créer</t>
  </si>
  <si>
    <t>h/an</t>
  </si>
  <si>
    <t>l/kW</t>
  </si>
  <si>
    <t>COMBUSTIBLES ET CONSOMMATIONS</t>
  </si>
  <si>
    <t>Coût unitaire € TTC / MWh PCI</t>
  </si>
  <si>
    <t>Classe combustible</t>
  </si>
  <si>
    <t>Bois d'emballage (palettes, cagettes)</t>
  </si>
  <si>
    <t>Ecorces, sciures</t>
  </si>
  <si>
    <t>Granulés</t>
  </si>
  <si>
    <t>TOTAL BOIS</t>
  </si>
  <si>
    <t>TOTAL COMBUSTIBLE</t>
  </si>
  <si>
    <t>Electricité chaufferie + réseau</t>
  </si>
  <si>
    <t>Solution comparative</t>
  </si>
  <si>
    <t>DESCRIPTION DES INVESTISSEMENTS (en € HT)</t>
  </si>
  <si>
    <t>Génie Civil chaufferie + silo</t>
  </si>
  <si>
    <t>Chaudière bois et périphériques</t>
  </si>
  <si>
    <t>Traitement des fumées</t>
  </si>
  <si>
    <t>Chaudière appoint et périphériques</t>
  </si>
  <si>
    <t>Sous-stations</t>
  </si>
  <si>
    <t>Réseau de chaleur</t>
  </si>
  <si>
    <t>Divers (contrôle, assurances, autres fournitures, etc.)</t>
  </si>
  <si>
    <t>Ingénierie</t>
  </si>
  <si>
    <t>A - TOTAL ELIGIBLE SOLUTION BOIS</t>
  </si>
  <si>
    <t>B - TOTAL SOLUTION DE REFERENCE</t>
  </si>
  <si>
    <t>C - Surcoût TOTAL de la solution bois (A - B)</t>
  </si>
  <si>
    <t>Circuit de distribution interne au bâtiment</t>
  </si>
  <si>
    <t xml:space="preserve">SUBVENTIONS </t>
  </si>
  <si>
    <t>Pourcentage attribué sur la valeur éligible</t>
  </si>
  <si>
    <t>Subvention (€ HT)</t>
  </si>
  <si>
    <t>Département</t>
  </si>
  <si>
    <t>Etat (préciser) :</t>
  </si>
  <si>
    <t>E - TOTAL</t>
  </si>
  <si>
    <t>Part de subventions /investissement total éligible bois (E/A)</t>
  </si>
  <si>
    <t>Part de subventions /Surcoût total bois ( E/C)</t>
  </si>
  <si>
    <t>F - INVESTISSEMENT RESIDUEL</t>
  </si>
  <si>
    <t>Mode de financement (emprunt, tiers, crédit bail….)</t>
  </si>
  <si>
    <t>Précisez la durée et taux si connus</t>
  </si>
  <si>
    <t>FONCTIONNEMENT ANNUEL</t>
  </si>
  <si>
    <t xml:space="preserve">Bois </t>
  </si>
  <si>
    <t>Comparative</t>
  </si>
  <si>
    <t>P1</t>
  </si>
  <si>
    <t>Coût achat combustible bois (€ TTC)</t>
  </si>
  <si>
    <t>Coût achat combustible appoint (€ TTC)</t>
  </si>
  <si>
    <t>P1'</t>
  </si>
  <si>
    <t>P2</t>
  </si>
  <si>
    <t>Entretien ( € TTC)</t>
  </si>
  <si>
    <t>P3</t>
  </si>
  <si>
    <t>Coût global d'exploitation / an (€ TTC)</t>
  </si>
  <si>
    <t>D - Economie annuelle d'exploitation (€ TTC)</t>
  </si>
  <si>
    <t>P4</t>
  </si>
  <si>
    <t>R1 (€ TTC/MWh)</t>
  </si>
  <si>
    <t>R2 (€ TTC/MW)</t>
  </si>
  <si>
    <t>Prix de vente de l'énergie</t>
  </si>
  <si>
    <t>Sans subventions</t>
  </si>
  <si>
    <t>Avec subventions</t>
  </si>
  <si>
    <t>Economie annuelle d'exploitation bois sur surcoût total bois
(C/D) (en années)</t>
  </si>
  <si>
    <t>BILAN ENVIRONNEMENTAL ( TEP et émissions)</t>
  </si>
  <si>
    <t>Type de dépoussiérieur installé</t>
  </si>
  <si>
    <r>
      <t xml:space="preserve">Rejets poussières </t>
    </r>
    <r>
      <rPr>
        <sz val="10"/>
        <rFont val="Calibri"/>
        <family val="2"/>
        <scheme val="minor"/>
      </rPr>
      <t>(mg/Nm³ à 11 % d'O</t>
    </r>
    <r>
      <rPr>
        <sz val="8"/>
        <rFont val="Calibri"/>
        <family val="2"/>
        <scheme val="minor"/>
      </rPr>
      <t>2</t>
    </r>
    <r>
      <rPr>
        <sz val="10"/>
        <rFont val="Calibri"/>
        <family val="2"/>
        <scheme val="minor"/>
      </rPr>
      <t>)</t>
    </r>
  </si>
  <si>
    <t>TEP énergie sortie chaudière bois</t>
  </si>
  <si>
    <r>
      <t xml:space="preserve">Energie(s) substituée(s) </t>
    </r>
    <r>
      <rPr>
        <sz val="10"/>
        <rFont val="Calibri"/>
        <family val="2"/>
        <scheme val="minor"/>
      </rPr>
      <t>(MWh)</t>
    </r>
  </si>
  <si>
    <t>TEP autres énergies</t>
  </si>
  <si>
    <r>
      <t xml:space="preserve">Emissions CO2 évitées </t>
    </r>
    <r>
      <rPr>
        <sz val="10"/>
        <rFont val="Calibri"/>
        <family val="2"/>
        <scheme val="minor"/>
      </rPr>
      <t>(tonnes)</t>
    </r>
  </si>
  <si>
    <r>
      <t xml:space="preserve">NOTA : Pour les projets supérieurs à 80 kW bois, joindre la courbe d'appel de puissance en annexe faisant apparaître le </t>
    </r>
    <r>
      <rPr>
        <u/>
        <sz val="20"/>
        <rFont val="Calibri"/>
        <family val="2"/>
        <scheme val="minor"/>
      </rPr>
      <t>taux de couverture</t>
    </r>
    <r>
      <rPr>
        <sz val="20"/>
        <rFont val="Calibri"/>
        <family val="2"/>
        <scheme val="minor"/>
      </rPr>
      <t xml:space="preserve"> et la </t>
    </r>
    <r>
      <rPr>
        <u/>
        <sz val="20"/>
        <rFont val="Calibri"/>
        <family val="2"/>
        <scheme val="minor"/>
      </rPr>
      <t>puissance de la chaudière</t>
    </r>
  </si>
  <si>
    <t>Date et signature du bureau d'étude</t>
  </si>
  <si>
    <t>Date et signature du maître d'ouvrage</t>
  </si>
  <si>
    <t>Le</t>
  </si>
  <si>
    <t>à</t>
  </si>
  <si>
    <t xml:space="preserve">Nom : </t>
  </si>
  <si>
    <t>Nom :</t>
  </si>
  <si>
    <t>Nom du bâtiment</t>
  </si>
  <si>
    <t>consommation actuelle annuelle (kWh, l, kg, T, m3)</t>
  </si>
  <si>
    <t>ratio convertion (kWh/(l, kg, T, m3))</t>
  </si>
  <si>
    <t>conso totale entrée chaudière (kWh)</t>
  </si>
  <si>
    <t>conso totale sortie chaudière (kWh)</t>
  </si>
  <si>
    <t>% chauffage / total</t>
  </si>
  <si>
    <t>exemple propane</t>
  </si>
  <si>
    <t>propane</t>
  </si>
  <si>
    <t>exemple élec</t>
  </si>
  <si>
    <t>élctricité</t>
  </si>
  <si>
    <t>lot</t>
  </si>
  <si>
    <t>cout HT</t>
  </si>
  <si>
    <t>total/moyenne</t>
  </si>
  <si>
    <t>Estimation du bonus CPER sur les réseaux internes aux bâtiments</t>
  </si>
  <si>
    <t>cout travaux</t>
  </si>
  <si>
    <t>cout études</t>
  </si>
  <si>
    <t>cout total</t>
  </si>
  <si>
    <t>30% du cout</t>
  </si>
  <si>
    <t>Plafond
2000€ /100 m²</t>
  </si>
  <si>
    <t>taux de subventions</t>
  </si>
  <si>
    <t>€</t>
  </si>
  <si>
    <t>totaux</t>
  </si>
  <si>
    <t>estimation du bonus Charte Qualité Bois Déchiqueté</t>
  </si>
  <si>
    <t>estimation cout éligible</t>
  </si>
  <si>
    <t>estimation bonus CQBD</t>
  </si>
  <si>
    <t>Dossier n° : ///</t>
  </si>
  <si>
    <t>Chutes de 1ére et 2éme transformation (dosses, délignures, chutes, copeaux)</t>
  </si>
  <si>
    <t>Proportion</t>
  </si>
  <si>
    <t>Conso annuelle (tonne)</t>
  </si>
  <si>
    <t>Nom de la structure</t>
  </si>
  <si>
    <t>Mail</t>
  </si>
  <si>
    <t>Taux de charge bois</t>
  </si>
  <si>
    <t>Densité thermique réseau</t>
  </si>
  <si>
    <t>Stockage unitaire tampon</t>
  </si>
  <si>
    <t>Plaquettes forestières</t>
  </si>
  <si>
    <t>Coût unitaire de l'installation (€ HT / kW bois)</t>
  </si>
  <si>
    <t>Coût unitaire de réseau (€ HT / ml)</t>
  </si>
  <si>
    <t>Estimation CPER base</t>
  </si>
  <si>
    <t>Estimation bonus réseaux internes</t>
  </si>
  <si>
    <t>Estimation bonus CQBD</t>
  </si>
  <si>
    <t>Estimation CPER total</t>
  </si>
  <si>
    <t>Coût consommation électricité chaufferie (€ TTC)</t>
  </si>
  <si>
    <t>Renouvellement matériel / provisions (€ TTC)</t>
  </si>
  <si>
    <t>Réseau enterré</t>
  </si>
  <si>
    <t>Distribution intérieure</t>
  </si>
  <si>
    <t>Appoint / énergie de référence</t>
  </si>
  <si>
    <t>Elément à rajouter dans le mode d'emploi --&gt; Feuille "accueil"</t>
  </si>
  <si>
    <t>La feuille de synthèse est un élément indispensable a fournir aux financeurs (Ademe et région) lors d'une demande de subvention. Les valeur données ci-dessous sont à titre indicatives et ne son pas le montant final de la subvention.</t>
  </si>
  <si>
    <t>Dans le mode d'emploi --&gt; La personne remplissant cette fiche peut se référer à la fenêtre "Aide au Calcul" pour compléter la section Descrition du bâtiment ainsi que celle du PLAN DE FINANCEMENT PREVISIONNEL.</t>
  </si>
  <si>
    <t>PLAN DE FINANCEMENT PREVISIONNEL relatif à l'investissement bois (en € HT)  (Se référer si besoin à "Aide au Calcul")</t>
  </si>
  <si>
    <t>POUR LES RESEAUX DE CHALEUR EN VENTE D'ENERGIE</t>
  </si>
  <si>
    <t>TEMPS DE RETOURS</t>
  </si>
  <si>
    <t>DESCRIPTION DU BATIMENT (Se référer si besoin à "Aide au Calcul")</t>
  </si>
  <si>
    <t>Adresse postale</t>
  </si>
  <si>
    <t>Code postal -Commune</t>
  </si>
  <si>
    <t>Nom du maitre d'ouvrage</t>
  </si>
  <si>
    <t>Nom du référent maitre d'ouvrage</t>
  </si>
  <si>
    <t>Zone climatique</t>
  </si>
  <si>
    <t>H1c</t>
  </si>
  <si>
    <t>H2d</t>
  </si>
  <si>
    <t>H3</t>
  </si>
  <si>
    <t>Solution de réf</t>
  </si>
  <si>
    <t>Fuel</t>
  </si>
  <si>
    <t>Gaz naturel</t>
  </si>
  <si>
    <t>Propane</t>
  </si>
  <si>
    <t>Mode de gestion</t>
  </si>
  <si>
    <t>Régie</t>
  </si>
  <si>
    <t>DSP</t>
  </si>
  <si>
    <t>Radiateurs</t>
  </si>
  <si>
    <t>Plancher chauffant</t>
  </si>
  <si>
    <t>Ventilo-convecteur</t>
  </si>
  <si>
    <t>Acier</t>
  </si>
  <si>
    <t>Electricité</t>
  </si>
  <si>
    <t>emission de GES</t>
  </si>
  <si>
    <t>à fixer</t>
  </si>
  <si>
    <t>Fiche complétée EF</t>
  </si>
  <si>
    <t>Fiche complétée investissement</t>
  </si>
  <si>
    <t xml:space="preserve">récupération de la TVA : </t>
  </si>
  <si>
    <t>Récup TVA</t>
  </si>
  <si>
    <t>AMO et/ou accompagnateur</t>
  </si>
  <si>
    <t>Maître d'ouvrage / porteur de projet</t>
  </si>
  <si>
    <t>Répartition de la puissance bois / puissance total (calculée)</t>
  </si>
  <si>
    <r>
      <t>Longueur du réseau</t>
    </r>
    <r>
      <rPr>
        <sz val="10"/>
        <color rgb="FFFF0000"/>
        <rFont val="Arial"/>
        <family val="2"/>
      </rPr>
      <t xml:space="preserve"> </t>
    </r>
    <r>
      <rPr>
        <sz val="10"/>
        <rFont val="Arial"/>
        <family val="2"/>
      </rPr>
      <t>total (aller)</t>
    </r>
  </si>
  <si>
    <t>Volume minimum conseillé de ballon tampon</t>
  </si>
  <si>
    <t>Coût global réseau (sous station incluse)</t>
  </si>
  <si>
    <r>
      <rPr>
        <b/>
        <sz val="14"/>
        <rFont val="Arial"/>
        <family val="2"/>
      </rPr>
      <t>La feuille " Fiche de vérification "</t>
    </r>
    <r>
      <rPr>
        <sz val="14"/>
        <rFont val="Arial"/>
        <family val="2"/>
      </rPr>
      <t xml:space="preserve"> ne concerne que les projets bois déchiqueté et doit être complétée par l'opérateur avant la fiche de synthèse. Le mode opératoire est présenté en haut de cette feuille.
- Les cases GRISEES (claires et foncées) doivent être saisies par l'opérateur.
- Les cases NON GRISEES ne son pas modifiables.
- Les cases "Eléments de contrôles" sont des indications pour l'opérateur.
- Les cases "Justifications vis-à-vis du contrôle" sont des cases à compléter par l'opérateur pour justifier ses choix.
- Les cases "Points vérifiés" permettent à l'opérateur de s'assurer qu'il a bien validé la ligne concernée en cochant une fois la vérification effectuée.
</t>
    </r>
    <r>
      <rPr>
        <b/>
        <sz val="14"/>
        <rFont val="Arial"/>
        <family val="2"/>
      </rPr>
      <t xml:space="preserve">
La feuille " Valeurs de référence " </t>
    </r>
    <r>
      <rPr>
        <sz val="14"/>
        <rFont val="Arial"/>
        <family val="2"/>
      </rPr>
      <t xml:space="preserve">regroupe l'ensemble des paramètres pris en compte dans les contrôles. Ces paramètres ne doivent pas être modifiés. Ils sont le fruit d'un travail collectif entre les divers intervenants pour définir des limites hautes et basses. Pour toute remarque, veuillez prendre contact avec les Communes forestières Provence-Alpes-Côte d'Azur qui animent la Mission Régionale Bois-énergie.
</t>
    </r>
    <r>
      <rPr>
        <b/>
        <sz val="14"/>
        <rFont val="Arial"/>
        <family val="2"/>
      </rPr>
      <t>La feuille "Fiche de synthèse"</t>
    </r>
    <r>
      <rPr>
        <sz val="14"/>
        <rFont val="Arial"/>
        <family val="2"/>
      </rPr>
      <t xml:space="preserve"> permet de regrouper les éléments principaux aux financeurs. Les cases en blanc sont à compléter, celles en en grisées sont complétées automatiquement
</t>
    </r>
    <r>
      <rPr>
        <b/>
        <sz val="14"/>
        <rFont val="Arial"/>
        <family val="2"/>
      </rPr>
      <t>Transmission</t>
    </r>
    <r>
      <rPr>
        <sz val="14"/>
        <rFont val="Arial"/>
        <family val="2"/>
      </rPr>
      <t xml:space="preserve">: ce fichier doit être complété dans les onglets "Fiche de vérification" et "Fiche de synthèse" et transmis aux financeurs (Ademe ou Région) par le maitre d'ouvrage à trois étapes : lors de la demande de versement du solde de la subvention pour l'étude de faisabilité, lors de la demande de financement de l'investissement, lors de la demande de versement du solde de la subvention pour l'investissement.
</t>
    </r>
    <r>
      <rPr>
        <b/>
        <sz val="14"/>
        <rFont val="Arial"/>
        <family val="2"/>
      </rPr>
      <t>Responsabilité et</t>
    </r>
    <r>
      <rPr>
        <sz val="14"/>
        <rFont val="Arial"/>
        <family val="2"/>
      </rPr>
      <t xml:space="preserve"> e</t>
    </r>
    <r>
      <rPr>
        <b/>
        <sz val="14"/>
        <rFont val="Arial"/>
        <family val="2"/>
      </rPr>
      <t>nregistrement des versions du fichier</t>
    </r>
    <r>
      <rPr>
        <sz val="14"/>
        <rFont val="Arial"/>
        <family val="2"/>
      </rPr>
      <t xml:space="preserve">: Le remplissage et la transmission du fichier est de la responsabilité du maitre d'ouvrage. Cependant celui-ci peut faire appel à ses prestataires du projet pour le remplir. Il est demandé d'enregister chaque version du fichier avec le nom suivant: DATE REMPLISSAGE(ex: 20180724)_Grille_DQCI_Paca_Nomprojet.xls
</t>
    </r>
  </si>
  <si>
    <t>Surface chauffée</t>
  </si>
  <si>
    <t>RENDEMENTS ANNUELS UTILISES</t>
  </si>
  <si>
    <t>Granulé</t>
  </si>
  <si>
    <t>Polymères</t>
  </si>
  <si>
    <t>Consommations
Chauffage MWh</t>
  </si>
  <si>
    <t>Compteur sortie chaudière bois et appoint</t>
  </si>
  <si>
    <t>CPER</t>
  </si>
  <si>
    <t>La Démarche Qualité Chaufferie Bois-énergie Paca s'incrit dans le cadre de la Mission Régionale Bois-énergie développé par l'Ademe, la Région et la Draaf. Le développement des chaufferies a été croissant au fil des années. Il a permis de structurer la filière et d'acquérir un retour d'expérience important.
La démarche qualité de conception des chaufferies bois énergie a pour objet de mettre en place un outil à destination des maitres d'ouvrages et des acteurs de la conception de projets de chaufferies (assistants à maitrise d'ouvrage, bureaux d'études thermiques, architectes...) qui leur pemet de s'assurer que le projet respecte quelques règles élémentaires de conception et de dimensionnement.
L'objectif est donc de parvenir à concevoir et réaliser des chaufferies les plus fonctionnelles possibles pour assurer un développement pérenne. Cet outil est adapté aux projets fonctionnant à la plaquette de bois. Il n'est pas opérationnel pour le moment pour les projets au granulé et autres combustibles biomasse.</t>
  </si>
  <si>
    <t>Rendement calculé fiche vérification / consommation sortie chaudière</t>
  </si>
  <si>
    <t>Conseil : voir les  critères CPER de sélection (2 types)</t>
  </si>
  <si>
    <t>Vérifiez si le fournisseur est adhérent à PEFC (obligation si votre chaufferie est financée par le Fonds chaleur) et s'il adhère à la Charte Qualité Bois Déchiqueté</t>
  </si>
  <si>
    <t>Financement du réseau secondaire des bâtiments qui se raccordent au réseau de chaleur renouvelable à hauteur de 30% plafonné à 2000€/100m² ou par equivalent logement.</t>
  </si>
  <si>
    <t>Consommations ECS fourni par la chaufferie MWh</t>
  </si>
  <si>
    <t>Déperditions (kWh/m²/an)</t>
  </si>
  <si>
    <t>Conso annuelle en MWh</t>
  </si>
  <si>
    <t>Dans cette section mettre en évidence l'égibilité à telle ou telle subvention (fond chaleur / CPER)</t>
  </si>
  <si>
    <t>Les cases colorées en gris doivent être remplies, celles en blanc le seront automatiquement</t>
  </si>
  <si>
    <t>Remplir uniquement les cases en gris clair et foncé</t>
  </si>
  <si>
    <t>en dessous de 580 MWh de production de chaleur, un taux maximum de 30% de l'opération éligible est possible</t>
  </si>
  <si>
    <t>SCHEMA 2 : INSTALLATION SANS RESEAU DE CHALEUR, DISTRIBUANT UN OU PLUSIEURS BATIMENTS SANS SOUS STATIONS</t>
  </si>
  <si>
    <t>Réseau de chaleur : 60% du surcout est supporté, plafonné à 400 €/ml</t>
  </si>
  <si>
    <t>Besoins
Chauffage (kWh)</t>
  </si>
  <si>
    <t>Besoins ECS (kWh)</t>
  </si>
  <si>
    <t>rendement annuel chaudière actuelle (%)</t>
  </si>
  <si>
    <t>entre 580 MWh et 1200 MWh de production de chaleur, une aide maximum de 190 €/MWh peut être accordé</t>
  </si>
  <si>
    <t>entre 580 MWh et 1200 MWh, une aide maximum de 60 % du surcout du réseau de chaleur peut être accordée, plafonné à 400 €/ml</t>
  </si>
  <si>
    <t>Fiche d'aide aux calculs de la fiche de synthèse</t>
  </si>
  <si>
    <t>Aide au calcul du P3 : gros renouvellement</t>
  </si>
  <si>
    <t>estimation bonus CPER</t>
  </si>
  <si>
    <t>Estimation maxi du CPER</t>
  </si>
  <si>
    <t>Attention, les financements publics sont plafonnés (règles européennes et d'état)</t>
  </si>
  <si>
    <t>Ces plafond sont à vérifier par le porteur de projet</t>
  </si>
  <si>
    <t>durée de vie (années)</t>
  </si>
  <si>
    <t>P3 
(€ / an)</t>
  </si>
  <si>
    <t>Coût unitaire € / tonne (€TTC)</t>
  </si>
  <si>
    <t xml:space="preserve"> </t>
  </si>
  <si>
    <t>Densité thermique annoncée du réseau</t>
  </si>
  <si>
    <t>nombre de logements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</si>
</sst>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0.0"/>
    <numFmt numFmtId="165" formatCode="_-* #,##0\ _€_-;\-* #,##0\ _€_-;_-* &quot;-&quot;??\ _€_-;_-@_-"/>
    <numFmt numFmtId="166" formatCode="0.0"/>
    <numFmt numFmtId="167" formatCode="_-* #,##0\ &quot;€&quot;_-;\-* #,##0\ &quot;€&quot;_-;_-* &quot;-&quot;??\ &quot;€&quot;_-;_-@_-"/>
    <numFmt numFmtId="168" formatCode="_-* #,##0.0\ _€_-;\-* #,##0.0\ _€_-;_-* &quot;-&quot;??\ _€_-;_-@_-"/>
  </numFmts>
  <fonts count="55" x14ac:knownFonts="1">
    <font>
      <sz val="10"/>
      <name val="Arial"/>
      <family val="2"/>
    </font>
    <font>
      <sz val="11"/>
      <color theme="1"/>
      <name val="Calibri"/>
      <family val="2"/>
      <scheme val="minor"/>
    </font>
    <font>
      <sz val="30"/>
      <color indexed="53"/>
      <name val="Arial Black"/>
      <family val="2"/>
    </font>
    <font>
      <b/>
      <sz val="23"/>
      <color indexed="9"/>
      <name val="Arial"/>
      <family val="2"/>
    </font>
    <font>
      <b/>
      <sz val="10"/>
      <name val="Arial"/>
      <family val="2"/>
    </font>
    <font>
      <i/>
      <sz val="10"/>
      <name val="Arial"/>
      <family val="2"/>
    </font>
    <font>
      <sz val="9.5"/>
      <color indexed="9"/>
      <name val="Calibri"/>
      <family val="2"/>
    </font>
    <font>
      <sz val="9"/>
      <color indexed="9"/>
      <name val="Calibri"/>
      <family val="2"/>
    </font>
    <font>
      <b/>
      <sz val="11"/>
      <color indexed="9"/>
      <name val="Arial"/>
      <family val="2"/>
    </font>
    <font>
      <sz val="30"/>
      <color rgb="FFC85D17"/>
      <name val="Arial Black"/>
      <family val="2"/>
    </font>
    <font>
      <sz val="10"/>
      <color theme="0"/>
      <name val="Arial"/>
      <family val="2"/>
    </font>
    <font>
      <sz val="22"/>
      <color rgb="FFC85D17"/>
      <name val="Arial Black"/>
      <family val="2"/>
    </font>
    <font>
      <b/>
      <i/>
      <sz val="11"/>
      <color rgb="FFC85D17"/>
      <name val="Arial"/>
      <family val="2"/>
    </font>
    <font>
      <b/>
      <i/>
      <sz val="10"/>
      <name val="Arial"/>
      <family val="2"/>
    </font>
    <font>
      <sz val="10"/>
      <name val="Arial"/>
      <family val="2"/>
    </font>
    <font>
      <sz val="15"/>
      <name val="Arial"/>
      <family val="2"/>
    </font>
    <font>
      <sz val="10"/>
      <color theme="1"/>
      <name val="Arial"/>
      <family val="2"/>
    </font>
    <font>
      <sz val="10"/>
      <color rgb="FFC85D17"/>
      <name val="Arial"/>
      <family val="2"/>
    </font>
    <font>
      <sz val="18"/>
      <color indexed="9"/>
      <name val="Calibri"/>
      <family val="2"/>
    </font>
    <font>
      <b/>
      <sz val="10"/>
      <color theme="1"/>
      <name val="Arial"/>
      <family val="2"/>
    </font>
    <font>
      <sz val="14"/>
      <color theme="1"/>
      <name val="Arial"/>
      <family val="2"/>
    </font>
    <font>
      <sz val="14"/>
      <name val="Arial"/>
      <family val="2"/>
    </font>
    <font>
      <b/>
      <sz val="14"/>
      <name val="Arial"/>
      <family val="2"/>
    </font>
    <font>
      <sz val="9"/>
      <color indexed="81"/>
      <name val="Tahoma"/>
      <family val="2"/>
    </font>
    <font>
      <b/>
      <sz val="9"/>
      <color indexed="81"/>
      <name val="Tahoma"/>
      <family val="2"/>
    </font>
    <font>
      <b/>
      <sz val="10"/>
      <color rgb="FFC85D17"/>
      <name val="Arial"/>
      <family val="2"/>
    </font>
    <font>
      <b/>
      <sz val="11"/>
      <color rgb="FFC85D17"/>
      <name val="Arial"/>
      <family val="2"/>
    </font>
    <font>
      <b/>
      <u/>
      <sz val="9"/>
      <color indexed="81"/>
      <name val="Tahoma"/>
      <family val="2"/>
    </font>
    <font>
      <sz val="1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b/>
      <sz val="11"/>
      <color rgb="FFFF0000"/>
      <name val="Calibri"/>
      <family val="2"/>
      <scheme val="minor"/>
    </font>
    <font>
      <b/>
      <sz val="12"/>
      <name val="Calibri"/>
      <family val="2"/>
      <scheme val="minor"/>
    </font>
    <font>
      <b/>
      <sz val="14"/>
      <color theme="1"/>
      <name val="Calibri"/>
      <family val="2"/>
      <scheme val="minor"/>
    </font>
    <font>
      <sz val="12"/>
      <name val="Calibri"/>
      <family val="2"/>
      <scheme val="minor"/>
    </font>
    <font>
      <b/>
      <sz val="12"/>
      <color rgb="FFFF0000"/>
      <name val="Calibri"/>
      <family val="2"/>
      <scheme val="minor"/>
    </font>
    <font>
      <sz val="10"/>
      <name val="Calibri"/>
      <family val="2"/>
      <scheme val="minor"/>
    </font>
    <font>
      <sz val="8"/>
      <name val="Calibri"/>
      <family val="2"/>
      <scheme val="minor"/>
    </font>
    <font>
      <sz val="20"/>
      <name val="Calibri"/>
      <family val="2"/>
      <scheme val="minor"/>
    </font>
    <font>
      <u/>
      <sz val="20"/>
      <name val="Calibri"/>
      <family val="2"/>
      <scheme val="minor"/>
    </font>
    <font>
      <sz val="10"/>
      <color rgb="FF000000"/>
      <name val="Times New Roman"/>
      <family val="1"/>
    </font>
    <font>
      <sz val="12"/>
      <color rgb="FF000000"/>
      <name val="Calibri"/>
      <family val="2"/>
      <scheme val="minor"/>
    </font>
    <font>
      <sz val="11"/>
      <color rgb="FF000000"/>
      <name val="Calibri"/>
      <family val="2"/>
      <scheme val="minor"/>
    </font>
    <font>
      <b/>
      <sz val="11"/>
      <color rgb="FF000000"/>
      <name val="Calibri"/>
      <family val="2"/>
      <scheme val="minor"/>
    </font>
    <font>
      <b/>
      <sz val="10"/>
      <name val="Calibri"/>
      <family val="2"/>
      <scheme val="minor"/>
    </font>
    <font>
      <sz val="10"/>
      <color rgb="FFFF0000"/>
      <name val="Calibri"/>
      <family val="2"/>
      <scheme val="minor"/>
    </font>
    <font>
      <sz val="10"/>
      <color rgb="FFFF0000"/>
      <name val="Arial"/>
      <family val="2"/>
    </font>
    <font>
      <b/>
      <sz val="11"/>
      <color theme="0"/>
      <name val="Arial"/>
      <family val="2"/>
    </font>
    <font>
      <b/>
      <sz val="11"/>
      <color theme="0"/>
      <name val="Calibri"/>
      <family val="2"/>
      <scheme val="minor"/>
    </font>
    <font>
      <sz val="11"/>
      <color theme="0"/>
      <name val="Calibri"/>
      <family val="2"/>
      <scheme val="minor"/>
    </font>
    <font>
      <sz val="11"/>
      <color theme="4" tint="-0.249977111117893"/>
      <name val="Calibri"/>
      <family val="2"/>
      <scheme val="minor"/>
    </font>
    <font>
      <b/>
      <sz val="12"/>
      <color theme="0"/>
      <name val="Calibri"/>
      <family val="2"/>
      <scheme val="minor"/>
    </font>
    <font>
      <sz val="10"/>
      <color theme="0" tint="-0.34998626667073579"/>
      <name val="Arial"/>
      <family val="2"/>
    </font>
    <font>
      <sz val="24"/>
      <color rgb="FFC85D17"/>
      <name val="Arial Black"/>
      <family val="2"/>
    </font>
  </fonts>
  <fills count="27">
    <fill>
      <patternFill patternType="none"/>
    </fill>
    <fill>
      <patternFill patternType="gray125"/>
    </fill>
    <fill>
      <patternFill patternType="solid">
        <fgColor indexed="9"/>
        <bgColor indexed="26"/>
      </patternFill>
    </fill>
    <fill>
      <patternFill patternType="solid">
        <fgColor theme="0"/>
        <bgColor indexed="64"/>
      </patternFill>
    </fill>
    <fill>
      <patternFill patternType="solid">
        <fgColor rgb="FFEFB000"/>
        <bgColor indexed="56"/>
      </patternFill>
    </fill>
    <fill>
      <patternFill patternType="solid">
        <fgColor rgb="FF808080"/>
        <bgColor indexed="24"/>
      </patternFill>
    </fill>
    <fill>
      <patternFill patternType="solid">
        <fgColor rgb="FFC85D17"/>
        <bgColor indexed="56"/>
      </patternFill>
    </fill>
    <fill>
      <patternFill patternType="solid">
        <fgColor rgb="FFE1D8B7"/>
        <bgColor indexed="24"/>
      </patternFill>
    </fill>
    <fill>
      <patternFill patternType="solid">
        <fgColor rgb="FFC85D17"/>
        <bgColor indexed="64"/>
      </patternFill>
    </fill>
    <fill>
      <patternFill patternType="solid">
        <fgColor rgb="FFE1D8B7"/>
        <bgColor indexed="64"/>
      </patternFill>
    </fill>
    <fill>
      <patternFill patternType="solid">
        <fgColor rgb="FFEFB000"/>
        <bgColor indexed="25"/>
      </patternFill>
    </fill>
    <fill>
      <patternFill patternType="solid">
        <fgColor rgb="FFE1D8B7"/>
        <bgColor indexed="26"/>
      </patternFill>
    </fill>
    <fill>
      <patternFill patternType="solid">
        <fgColor theme="0"/>
        <bgColor indexed="25"/>
      </patternFill>
    </fill>
    <fill>
      <patternFill patternType="solid">
        <fgColor theme="0"/>
        <bgColor indexed="26"/>
      </patternFill>
    </fill>
    <fill>
      <patternFill patternType="solid">
        <fgColor theme="0"/>
        <bgColor indexed="24"/>
      </patternFill>
    </fill>
    <fill>
      <patternFill patternType="solid">
        <fgColor rgb="FFECE6D0"/>
        <bgColor indexed="24"/>
      </patternFill>
    </fill>
    <fill>
      <patternFill patternType="solid">
        <fgColor rgb="FFA7A7A7"/>
        <bgColor indexed="24"/>
      </patternFill>
    </fill>
    <fill>
      <patternFill patternType="solid">
        <fgColor theme="0"/>
        <bgColor indexed="56"/>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EFB000"/>
        <bgColor indexed="64"/>
      </patternFill>
    </fill>
    <fill>
      <patternFill patternType="solid">
        <fgColor rgb="FFECE6D0"/>
        <bgColor indexed="64"/>
      </patternFill>
    </fill>
    <fill>
      <patternFill patternType="solid">
        <fgColor rgb="FFFFC000"/>
        <bgColor indexed="64"/>
      </patternFill>
    </fill>
    <fill>
      <patternFill patternType="solid">
        <fgColor rgb="FFEC975E"/>
        <bgColor indexed="64"/>
      </patternFill>
    </fill>
    <fill>
      <patternFill patternType="solid">
        <fgColor theme="0" tint="-4.9989318521683403E-2"/>
        <bgColor indexed="64"/>
      </patternFill>
    </fill>
    <fill>
      <patternFill patternType="solid">
        <fgColor theme="0" tint="-0.49998474074526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s>
  <cellStyleXfs count="6">
    <xf numFmtId="0" fontId="0" fillId="0" borderId="0"/>
    <xf numFmtId="9" fontId="14" fillId="0" borderId="0" applyFont="0" applyFill="0" applyBorder="0" applyAlignment="0" applyProtection="0"/>
    <xf numFmtId="43" fontId="14" fillId="0" borderId="0" applyFont="0" applyFill="0" applyBorder="0" applyAlignment="0" applyProtection="0"/>
    <xf numFmtId="0" fontId="41" fillId="0" borderId="0"/>
    <xf numFmtId="9" fontId="41" fillId="0" borderId="0" applyFont="0" applyFill="0" applyBorder="0" applyAlignment="0" applyProtection="0"/>
    <xf numFmtId="43" fontId="41" fillId="0" borderId="0" applyFont="0" applyFill="0" applyBorder="0" applyAlignment="0" applyProtection="0"/>
  </cellStyleXfs>
  <cellXfs count="616">
    <xf numFmtId="0" fontId="0" fillId="0" borderId="0" xfId="0"/>
    <xf numFmtId="0" fontId="0" fillId="2" borderId="0" xfId="0" applyFill="1"/>
    <xf numFmtId="0" fontId="0" fillId="2" borderId="0" xfId="0" applyFill="1" applyAlignment="1">
      <alignment horizontal="center"/>
    </xf>
    <xf numFmtId="0" fontId="5" fillId="2" borderId="0" xfId="0" applyFont="1" applyFill="1" applyAlignment="1">
      <alignment horizontal="center"/>
    </xf>
    <xf numFmtId="0" fontId="0" fillId="0" borderId="0" xfId="0" applyAlignment="1">
      <alignment horizontal="center"/>
    </xf>
    <xf numFmtId="0" fontId="0" fillId="2" borderId="0" xfId="0" applyFill="1" applyAlignment="1">
      <alignment horizontal="left" vertical="center"/>
    </xf>
    <xf numFmtId="0" fontId="0" fillId="2" borderId="0" xfId="0" applyFill="1" applyAlignment="1">
      <alignment horizontal="right"/>
    </xf>
    <xf numFmtId="0" fontId="2" fillId="2" borderId="0" xfId="0" applyFont="1" applyFill="1" applyAlignment="1">
      <alignment horizontal="right" wrapText="1"/>
    </xf>
    <xf numFmtId="0" fontId="2" fillId="0" borderId="0" xfId="0" applyFont="1" applyAlignment="1">
      <alignment horizontal="right" wrapText="1"/>
    </xf>
    <xf numFmtId="0" fontId="0" fillId="2" borderId="0" xfId="0" applyFill="1" applyAlignment="1">
      <alignment vertical="center"/>
    </xf>
    <xf numFmtId="0" fontId="2" fillId="2" borderId="0" xfId="0" applyFont="1" applyFill="1" applyAlignment="1">
      <alignment wrapText="1"/>
    </xf>
    <xf numFmtId="0" fontId="9" fillId="2" borderId="0" xfId="0" applyFont="1" applyFill="1" applyAlignment="1">
      <alignment wrapText="1"/>
    </xf>
    <xf numFmtId="0" fontId="0" fillId="7" borderId="0" xfId="0" applyFill="1"/>
    <xf numFmtId="0" fontId="0" fillId="7" borderId="0" xfId="0" applyFill="1" applyAlignment="1">
      <alignment horizontal="center"/>
    </xf>
    <xf numFmtId="0" fontId="3" fillId="4" borderId="0" xfId="0" applyFont="1" applyFill="1"/>
    <xf numFmtId="0" fontId="8" fillId="6" borderId="0" xfId="0" applyFont="1" applyFill="1" applyAlignment="1">
      <alignment horizontal="center"/>
    </xf>
    <xf numFmtId="0" fontId="8" fillId="6" borderId="0" xfId="0" applyFont="1" applyFill="1"/>
    <xf numFmtId="0" fontId="0" fillId="3" borderId="0" xfId="0" applyFill="1"/>
    <xf numFmtId="0" fontId="11" fillId="2" borderId="0" xfId="0" applyFont="1" applyFill="1" applyAlignment="1">
      <alignment vertical="top" wrapText="1"/>
    </xf>
    <xf numFmtId="0" fontId="6" fillId="10" borderId="0" xfId="0" applyFont="1" applyFill="1"/>
    <xf numFmtId="0" fontId="7" fillId="12" borderId="0" xfId="0" applyFont="1" applyFill="1"/>
    <xf numFmtId="0" fontId="6" fillId="12" borderId="0" xfId="0" applyFont="1" applyFill="1" applyAlignment="1">
      <alignment horizontal="center"/>
    </xf>
    <xf numFmtId="0" fontId="0" fillId="9" borderId="1" xfId="0" applyFill="1" applyBorder="1"/>
    <xf numFmtId="3" fontId="10" fillId="5" borderId="0" xfId="0" applyNumberFormat="1" applyFont="1" applyFill="1" applyAlignment="1" applyProtection="1">
      <alignment horizontal="center"/>
      <protection locked="0"/>
    </xf>
    <xf numFmtId="0" fontId="4" fillId="2" borderId="0" xfId="0" applyFont="1" applyFill="1" applyAlignment="1">
      <alignment horizontal="center"/>
    </xf>
    <xf numFmtId="0" fontId="4" fillId="0" borderId="0" xfId="0" applyFont="1"/>
    <xf numFmtId="0" fontId="13" fillId="3" borderId="0" xfId="0" applyFont="1" applyFill="1" applyAlignment="1">
      <alignment horizontal="center"/>
    </xf>
    <xf numFmtId="0" fontId="0" fillId="13" borderId="0" xfId="0" applyFill="1"/>
    <xf numFmtId="0" fontId="0" fillId="14" borderId="0" xfId="0" applyFill="1"/>
    <xf numFmtId="0" fontId="9" fillId="2" borderId="0" xfId="0" applyFont="1" applyFill="1" applyAlignment="1">
      <alignment horizontal="center" wrapText="1"/>
    </xf>
    <xf numFmtId="0" fontId="6" fillId="10" borderId="0" xfId="0" applyFont="1" applyFill="1" applyAlignment="1">
      <alignment horizontal="center"/>
    </xf>
    <xf numFmtId="0" fontId="0" fillId="9" borderId="2" xfId="0" applyFill="1" applyBorder="1"/>
    <xf numFmtId="0" fontId="0" fillId="8" borderId="0" xfId="0" applyFill="1"/>
    <xf numFmtId="0" fontId="15" fillId="0" borderId="0" xfId="0" applyFont="1" applyAlignment="1">
      <alignment vertical="center"/>
    </xf>
    <xf numFmtId="0" fontId="12" fillId="9" borderId="0" xfId="0" applyFont="1" applyFill="1"/>
    <xf numFmtId="0" fontId="10" fillId="14" borderId="0" xfId="0" applyFont="1" applyFill="1" applyAlignment="1">
      <alignment horizontal="center"/>
    </xf>
    <xf numFmtId="0" fontId="0" fillId="15" borderId="0" xfId="0" applyFill="1"/>
    <xf numFmtId="0" fontId="10" fillId="16" borderId="0" xfId="0" applyFont="1" applyFill="1" applyAlignment="1" applyProtection="1">
      <alignment horizontal="center"/>
      <protection locked="0"/>
    </xf>
    <xf numFmtId="0" fontId="0" fillId="15" borderId="0" xfId="0" applyFill="1" applyAlignment="1">
      <alignment horizontal="right"/>
    </xf>
    <xf numFmtId="0" fontId="0" fillId="7" borderId="0" xfId="0" applyFill="1" applyAlignment="1">
      <alignment horizontal="right"/>
    </xf>
    <xf numFmtId="0" fontId="0" fillId="3" borderId="0" xfId="0" applyFill="1" applyAlignment="1">
      <alignment vertical="center"/>
    </xf>
    <xf numFmtId="0" fontId="0" fillId="0" borderId="0" xfId="0" applyAlignment="1">
      <alignment wrapText="1"/>
    </xf>
    <xf numFmtId="0" fontId="8" fillId="6" borderId="0" xfId="0" applyFont="1" applyFill="1" applyAlignment="1">
      <alignment horizontal="center" vertical="center" wrapText="1"/>
    </xf>
    <xf numFmtId="0" fontId="0" fillId="3" borderId="0" xfId="0" applyFill="1" applyAlignment="1">
      <alignment vertical="center" wrapText="1"/>
    </xf>
    <xf numFmtId="1" fontId="16" fillId="15" borderId="0" xfId="0" applyNumberFormat="1" applyFont="1" applyFill="1" applyAlignment="1">
      <alignment horizontal="center"/>
    </xf>
    <xf numFmtId="3" fontId="10" fillId="16" borderId="0" xfId="0" applyNumberFormat="1" applyFont="1" applyFill="1" applyAlignment="1" applyProtection="1">
      <alignment horizontal="center"/>
      <protection locked="0"/>
    </xf>
    <xf numFmtId="0" fontId="18" fillId="10" borderId="0" xfId="0" applyFont="1" applyFill="1" applyAlignment="1">
      <alignment horizontal="center" wrapText="1"/>
    </xf>
    <xf numFmtId="3" fontId="16" fillId="15" borderId="0" xfId="0" applyNumberFormat="1" applyFont="1" applyFill="1" applyAlignment="1">
      <alignment horizontal="center"/>
    </xf>
    <xf numFmtId="0" fontId="19" fillId="2" borderId="0" xfId="0" applyFont="1" applyFill="1" applyAlignment="1">
      <alignment horizontal="center"/>
    </xf>
    <xf numFmtId="0" fontId="0" fillId="11" borderId="1" xfId="0" applyFill="1" applyBorder="1" applyAlignment="1">
      <alignment horizontal="left" wrapText="1"/>
    </xf>
    <xf numFmtId="0" fontId="0" fillId="11" borderId="3" xfId="0" applyFill="1" applyBorder="1" applyAlignment="1">
      <alignment wrapText="1"/>
    </xf>
    <xf numFmtId="9" fontId="16" fillId="15" borderId="0" xfId="0" applyNumberFormat="1" applyFont="1" applyFill="1" applyAlignment="1">
      <alignment horizontal="center"/>
    </xf>
    <xf numFmtId="0" fontId="0" fillId="15" borderId="0" xfId="0" applyFill="1" applyAlignment="1">
      <alignment horizontal="center"/>
    </xf>
    <xf numFmtId="0" fontId="4" fillId="2" borderId="0" xfId="0" applyFont="1" applyFill="1" applyAlignment="1">
      <alignment horizontal="left"/>
    </xf>
    <xf numFmtId="0" fontId="2" fillId="2" borderId="0" xfId="0" applyFont="1" applyFill="1" applyAlignment="1">
      <alignment horizontal="center" wrapText="1"/>
    </xf>
    <xf numFmtId="0" fontId="0" fillId="8" borderId="0" xfId="0" applyFill="1" applyAlignment="1">
      <alignment horizontal="center"/>
    </xf>
    <xf numFmtId="0" fontId="12" fillId="9" borderId="0" xfId="0" applyFont="1" applyFill="1" applyAlignment="1">
      <alignment horizontal="center"/>
    </xf>
    <xf numFmtId="0" fontId="0" fillId="14" borderId="0" xfId="0" applyFill="1" applyAlignment="1">
      <alignment horizontal="center"/>
    </xf>
    <xf numFmtId="0" fontId="0" fillId="11" borderId="7" xfId="0" applyFill="1" applyBorder="1" applyAlignment="1">
      <alignment wrapText="1"/>
    </xf>
    <xf numFmtId="0" fontId="0" fillId="11" borderId="10" xfId="0" applyFill="1" applyBorder="1" applyAlignment="1">
      <alignment wrapText="1"/>
    </xf>
    <xf numFmtId="0" fontId="0" fillId="11" borderId="9" xfId="0" applyFill="1" applyBorder="1" applyAlignment="1">
      <alignment wrapText="1"/>
    </xf>
    <xf numFmtId="0" fontId="0" fillId="11" borderId="14" xfId="0" applyFill="1" applyBorder="1" applyAlignment="1">
      <alignment horizontal="left" wrapText="1"/>
    </xf>
    <xf numFmtId="0" fontId="0" fillId="11" borderId="15" xfId="0" applyFill="1" applyBorder="1" applyAlignment="1">
      <alignment horizontal="left" wrapText="1"/>
    </xf>
    <xf numFmtId="0" fontId="0" fillId="11" borderId="16" xfId="0" applyFill="1" applyBorder="1" applyAlignment="1">
      <alignment horizontal="left" wrapText="1"/>
    </xf>
    <xf numFmtId="0" fontId="0" fillId="11" borderId="17" xfId="0" applyFill="1" applyBorder="1" applyAlignment="1">
      <alignment horizontal="left" wrapText="1"/>
    </xf>
    <xf numFmtId="0" fontId="0" fillId="11" borderId="18" xfId="0" applyFill="1" applyBorder="1" applyAlignment="1">
      <alignment horizontal="left" wrapText="1"/>
    </xf>
    <xf numFmtId="0" fontId="8" fillId="6" borderId="23" xfId="0" applyFont="1" applyFill="1" applyBorder="1" applyAlignment="1">
      <alignment horizontal="left" vertical="center"/>
    </xf>
    <xf numFmtId="0" fontId="8" fillId="6" borderId="24" xfId="0" applyFont="1" applyFill="1" applyBorder="1" applyAlignment="1">
      <alignment horizontal="center"/>
    </xf>
    <xf numFmtId="0" fontId="8" fillId="6" borderId="25" xfId="0" applyFont="1" applyFill="1" applyBorder="1" applyAlignment="1">
      <alignment horizontal="center"/>
    </xf>
    <xf numFmtId="0" fontId="0" fillId="11" borderId="25" xfId="0" applyFill="1" applyBorder="1"/>
    <xf numFmtId="0" fontId="0" fillId="11" borderId="24" xfId="0" applyFill="1" applyBorder="1" applyAlignment="1">
      <alignment horizontal="center"/>
    </xf>
    <xf numFmtId="0" fontId="8" fillId="6" borderId="23" xfId="0" applyFont="1" applyFill="1" applyBorder="1" applyAlignment="1">
      <alignment horizontal="left"/>
    </xf>
    <xf numFmtId="0" fontId="0" fillId="11" borderId="29" xfId="0" applyFill="1" applyBorder="1" applyAlignment="1">
      <alignment horizontal="center"/>
    </xf>
    <xf numFmtId="0" fontId="0" fillId="11" borderId="30" xfId="0" applyFill="1" applyBorder="1"/>
    <xf numFmtId="0" fontId="0" fillId="11" borderId="32" xfId="0" applyFill="1" applyBorder="1" applyAlignment="1">
      <alignment horizontal="center"/>
    </xf>
    <xf numFmtId="0" fontId="0" fillId="0" borderId="4" xfId="0" applyBorder="1" applyAlignment="1">
      <alignment horizontal="center" vertical="center"/>
    </xf>
    <xf numFmtId="0" fontId="0" fillId="0" borderId="4" xfId="0" applyBorder="1" applyAlignment="1">
      <alignment horizontal="center"/>
    </xf>
    <xf numFmtId="0" fontId="8" fillId="6" borderId="4" xfId="0" applyFont="1" applyFill="1" applyBorder="1" applyAlignment="1">
      <alignment horizontal="center" vertical="center" wrapText="1"/>
    </xf>
    <xf numFmtId="0" fontId="0" fillId="0" borderId="34" xfId="0" applyBorder="1" applyAlignment="1">
      <alignment horizontal="center"/>
    </xf>
    <xf numFmtId="0" fontId="0" fillId="11" borderId="18" xfId="0" applyFill="1" applyBorder="1" applyAlignment="1">
      <alignment horizontal="center"/>
    </xf>
    <xf numFmtId="0" fontId="0" fillId="11" borderId="19" xfId="0" applyFill="1" applyBorder="1"/>
    <xf numFmtId="0" fontId="0" fillId="11" borderId="26" xfId="0" applyFill="1" applyBorder="1" applyAlignment="1">
      <alignment wrapText="1"/>
    </xf>
    <xf numFmtId="0" fontId="0" fillId="11" borderId="27" xfId="0" applyFill="1" applyBorder="1" applyAlignment="1">
      <alignment wrapText="1"/>
    </xf>
    <xf numFmtId="0" fontId="20" fillId="7" borderId="0" xfId="0" applyFont="1" applyFill="1" applyAlignment="1">
      <alignment vertical="top" wrapText="1"/>
    </xf>
    <xf numFmtId="0" fontId="21" fillId="7" borderId="0" xfId="0" applyFont="1" applyFill="1" applyAlignment="1">
      <alignment horizontal="left" vertical="top" wrapText="1"/>
    </xf>
    <xf numFmtId="0" fontId="0" fillId="11" borderId="23" xfId="0" applyFill="1" applyBorder="1" applyAlignment="1">
      <alignment horizontal="left"/>
    </xf>
    <xf numFmtId="0" fontId="0" fillId="11" borderId="24" xfId="0" applyFill="1" applyBorder="1" applyAlignment="1">
      <alignment horizontal="left"/>
    </xf>
    <xf numFmtId="0" fontId="0" fillId="0" borderId="36" xfId="0" applyBorder="1" applyAlignment="1">
      <alignment horizontal="center" vertical="center"/>
    </xf>
    <xf numFmtId="0" fontId="0" fillId="11" borderId="32" xfId="0" applyFill="1" applyBorder="1" applyAlignment="1">
      <alignment horizontal="left"/>
    </xf>
    <xf numFmtId="0" fontId="0" fillId="11" borderId="33" xfId="0" applyFill="1" applyBorder="1" applyAlignment="1">
      <alignment horizontal="left"/>
    </xf>
    <xf numFmtId="0" fontId="0" fillId="11" borderId="28" xfId="0" applyFill="1" applyBorder="1" applyAlignment="1">
      <alignment horizontal="left"/>
    </xf>
    <xf numFmtId="0" fontId="0" fillId="11" borderId="29" xfId="0" applyFill="1" applyBorder="1" applyAlignment="1">
      <alignment horizontal="left"/>
    </xf>
    <xf numFmtId="0" fontId="0" fillId="11" borderId="31" xfId="0" applyFill="1" applyBorder="1" applyAlignment="1">
      <alignment horizontal="left"/>
    </xf>
    <xf numFmtId="3" fontId="0" fillId="7" borderId="0" xfId="0" applyNumberFormat="1" applyFill="1" applyAlignment="1">
      <alignment horizontal="center"/>
    </xf>
    <xf numFmtId="9" fontId="0" fillId="11" borderId="24" xfId="1" applyFont="1" applyFill="1" applyBorder="1" applyAlignment="1">
      <alignment horizontal="center"/>
    </xf>
    <xf numFmtId="164" fontId="10" fillId="16" borderId="0" xfId="0" applyNumberFormat="1" applyFont="1" applyFill="1" applyAlignment="1" applyProtection="1">
      <alignment horizontal="center"/>
      <protection locked="0"/>
    </xf>
    <xf numFmtId="164" fontId="10" fillId="5" borderId="0" xfId="0" applyNumberFormat="1" applyFont="1" applyFill="1" applyAlignment="1" applyProtection="1">
      <alignment horizontal="center"/>
      <protection locked="0"/>
    </xf>
    <xf numFmtId="0" fontId="8" fillId="17" borderId="0" xfId="0" applyFont="1" applyFill="1"/>
    <xf numFmtId="0" fontId="17" fillId="14" borderId="0" xfId="0" applyFont="1" applyFill="1" applyAlignment="1">
      <alignment horizontal="left"/>
    </xf>
    <xf numFmtId="0" fontId="0" fillId="11" borderId="37" xfId="0" applyFill="1" applyBorder="1" applyAlignment="1">
      <alignment horizontal="left"/>
    </xf>
    <xf numFmtId="0" fontId="0" fillId="11" borderId="0" xfId="0" applyFill="1" applyAlignment="1">
      <alignment horizontal="left"/>
    </xf>
    <xf numFmtId="0" fontId="0" fillId="11" borderId="38" xfId="0" applyFill="1" applyBorder="1" applyAlignment="1">
      <alignment horizontal="left"/>
    </xf>
    <xf numFmtId="0" fontId="0" fillId="11" borderId="30" xfId="0" applyFill="1" applyBorder="1" applyAlignment="1">
      <alignment horizontal="left"/>
    </xf>
    <xf numFmtId="0" fontId="0" fillId="11" borderId="0" xfId="0" applyFill="1" applyAlignment="1">
      <alignment horizontal="center"/>
    </xf>
    <xf numFmtId="3" fontId="10" fillId="14" borderId="0" xfId="0" applyNumberFormat="1" applyFont="1" applyFill="1" applyAlignment="1" applyProtection="1">
      <alignment horizontal="center"/>
      <protection locked="0"/>
    </xf>
    <xf numFmtId="1" fontId="16" fillId="7" borderId="0" xfId="0" applyNumberFormat="1" applyFont="1" applyFill="1" applyAlignment="1">
      <alignment horizontal="left"/>
    </xf>
    <xf numFmtId="1" fontId="16" fillId="7" borderId="0" xfId="0" applyNumberFormat="1" applyFont="1" applyFill="1" applyAlignment="1">
      <alignment horizontal="center"/>
    </xf>
    <xf numFmtId="0" fontId="17" fillId="14" borderId="0" xfId="0" applyFont="1" applyFill="1"/>
    <xf numFmtId="14" fontId="10" fillId="5" borderId="0" xfId="0" applyNumberFormat="1" applyFont="1" applyFill="1" applyAlignment="1" applyProtection="1">
      <alignment horizontal="center"/>
      <protection locked="0"/>
    </xf>
    <xf numFmtId="0" fontId="26" fillId="6" borderId="0" xfId="0" applyFont="1" applyFill="1" applyAlignment="1">
      <alignment horizontal="center"/>
    </xf>
    <xf numFmtId="3" fontId="16" fillId="7" borderId="0" xfId="0" applyNumberFormat="1" applyFont="1" applyFill="1" applyAlignment="1">
      <alignment horizontal="center"/>
    </xf>
    <xf numFmtId="1" fontId="0" fillId="0" borderId="0" xfId="0" applyNumberFormat="1"/>
    <xf numFmtId="0" fontId="0" fillId="11" borderId="6" xfId="0" applyFill="1" applyBorder="1" applyAlignment="1">
      <alignment horizontal="center"/>
    </xf>
    <xf numFmtId="0" fontId="0" fillId="11" borderId="7" xfId="0" applyFill="1" applyBorder="1"/>
    <xf numFmtId="0" fontId="0" fillId="11" borderId="39" xfId="0" applyFill="1" applyBorder="1" applyAlignment="1">
      <alignment horizontal="center"/>
    </xf>
    <xf numFmtId="0" fontId="0" fillId="11" borderId="9" xfId="0" applyFill="1" applyBorder="1"/>
    <xf numFmtId="4" fontId="10" fillId="5" borderId="0" xfId="0" applyNumberFormat="1" applyFont="1" applyFill="1" applyAlignment="1" applyProtection="1">
      <alignment horizontal="center"/>
      <protection locked="0"/>
    </xf>
    <xf numFmtId="3" fontId="0" fillId="0" borderId="0" xfId="0" applyNumberFormat="1"/>
    <xf numFmtId="164" fontId="0" fillId="15" borderId="0" xfId="0" applyNumberFormat="1" applyFill="1" applyAlignment="1">
      <alignment horizontal="center"/>
    </xf>
    <xf numFmtId="0" fontId="0" fillId="14" borderId="0" xfId="0" applyFill="1" applyAlignment="1">
      <alignment horizontal="left"/>
    </xf>
    <xf numFmtId="0" fontId="28" fillId="0" borderId="0" xfId="0" applyFont="1" applyAlignment="1" applyProtection="1">
      <alignment horizontal="left" vertical="center"/>
      <protection locked="0"/>
    </xf>
    <xf numFmtId="0" fontId="32" fillId="0" borderId="1" xfId="0" applyFont="1" applyBorder="1" applyAlignment="1">
      <alignment horizontal="left" vertical="center" wrapText="1"/>
    </xf>
    <xf numFmtId="0" fontId="28" fillId="0" borderId="0" xfId="0" applyFont="1" applyAlignment="1">
      <alignment horizontal="left" vertical="center"/>
    </xf>
    <xf numFmtId="0" fontId="0" fillId="0" borderId="1" xfId="0" applyBorder="1" applyAlignment="1">
      <alignment horizontal="left" vertical="center" wrapText="1"/>
    </xf>
    <xf numFmtId="0" fontId="29" fillId="0" borderId="1" xfId="0" applyFont="1" applyBorder="1" applyAlignment="1">
      <alignment horizontal="left" vertical="center" wrapText="1"/>
    </xf>
    <xf numFmtId="0" fontId="34" fillId="18" borderId="2" xfId="0" applyFont="1" applyFill="1" applyBorder="1" applyAlignment="1">
      <alignment horizontal="left" vertical="center" wrapText="1"/>
    </xf>
    <xf numFmtId="0" fontId="0" fillId="0" borderId="2" xfId="0" applyBorder="1" applyAlignment="1">
      <alignment horizontal="left" vertical="center" wrapText="1"/>
    </xf>
    <xf numFmtId="0" fontId="36" fillId="0" borderId="2" xfId="0" applyFont="1" applyBorder="1" applyAlignment="1">
      <alignment horizontal="left" vertical="center" wrapText="1"/>
    </xf>
    <xf numFmtId="0" fontId="0" fillId="0" borderId="2" xfId="0" applyBorder="1" applyAlignment="1">
      <alignment horizontal="left" vertical="center"/>
    </xf>
    <xf numFmtId="0" fontId="30" fillId="0" borderId="2" xfId="0" applyFont="1" applyBorder="1" applyAlignment="1">
      <alignment horizontal="left" vertical="center"/>
    </xf>
    <xf numFmtId="0" fontId="30" fillId="0" borderId="1" xfId="0" applyFont="1" applyBorder="1" applyAlignment="1">
      <alignment horizontal="left" vertical="center" wrapText="1"/>
    </xf>
    <xf numFmtId="0" fontId="0" fillId="0" borderId="1" xfId="0" applyBorder="1" applyAlignment="1">
      <alignment horizontal="left" vertical="center"/>
    </xf>
    <xf numFmtId="0" fontId="30" fillId="0" borderId="40" xfId="0" applyFont="1" applyBorder="1" applyAlignment="1">
      <alignment horizontal="left" vertical="center"/>
    </xf>
    <xf numFmtId="1" fontId="28" fillId="0" borderId="3" xfId="0" applyNumberFormat="1" applyFont="1" applyBorder="1" applyAlignment="1" applyProtection="1">
      <alignment horizontal="left" vertical="center"/>
      <protection locked="0"/>
    </xf>
    <xf numFmtId="0" fontId="28" fillId="0" borderId="2" xfId="0" applyFont="1" applyBorder="1" applyAlignment="1">
      <alignment horizontal="left" vertical="center"/>
    </xf>
    <xf numFmtId="0" fontId="35" fillId="0" borderId="0" xfId="0" applyFont="1" applyAlignment="1">
      <alignment horizontal="left" vertical="center"/>
    </xf>
    <xf numFmtId="165" fontId="28" fillId="0" borderId="0" xfId="0" applyNumberFormat="1" applyFont="1" applyAlignment="1">
      <alignment horizontal="left" vertical="center"/>
    </xf>
    <xf numFmtId="0" fontId="28" fillId="20" borderId="5" xfId="0" applyFont="1" applyFill="1" applyBorder="1" applyAlignment="1">
      <alignment horizontal="left" vertical="center"/>
    </xf>
    <xf numFmtId="0" fontId="28" fillId="20" borderId="6" xfId="0" applyFont="1" applyFill="1" applyBorder="1" applyAlignment="1">
      <alignment horizontal="left" vertical="center"/>
    </xf>
    <xf numFmtId="0" fontId="28" fillId="0" borderId="0" xfId="0" applyFont="1" applyAlignment="1">
      <alignment horizontal="left" vertical="center" wrapText="1"/>
    </xf>
    <xf numFmtId="0" fontId="28" fillId="20" borderId="26" xfId="0" applyFont="1" applyFill="1" applyBorder="1" applyAlignment="1">
      <alignment horizontal="left" vertical="center"/>
    </xf>
    <xf numFmtId="0" fontId="28" fillId="0" borderId="44" xfId="0" applyFont="1" applyBorder="1" applyAlignment="1">
      <alignment horizontal="left" vertical="center"/>
    </xf>
    <xf numFmtId="0" fontId="28" fillId="0" borderId="12" xfId="0" applyFont="1" applyBorder="1" applyAlignment="1">
      <alignment horizontal="left" vertical="center"/>
    </xf>
    <xf numFmtId="0" fontId="28" fillId="0" borderId="45" xfId="0" applyFont="1" applyBorder="1" applyAlignment="1">
      <alignment horizontal="left" vertical="center"/>
    </xf>
    <xf numFmtId="0" fontId="28" fillId="0" borderId="46" xfId="0" applyFont="1" applyBorder="1" applyAlignment="1">
      <alignment horizontal="left" vertical="center"/>
    </xf>
    <xf numFmtId="0" fontId="28" fillId="0" borderId="47" xfId="0" applyFont="1" applyBorder="1" applyAlignment="1">
      <alignment horizontal="left" vertical="center"/>
    </xf>
    <xf numFmtId="0" fontId="28" fillId="0" borderId="48" xfId="0" applyFont="1" applyBorder="1" applyAlignment="1">
      <alignment horizontal="left" vertical="center"/>
    </xf>
    <xf numFmtId="0" fontId="28" fillId="0" borderId="21" xfId="0" applyFont="1" applyBorder="1" applyAlignment="1">
      <alignment horizontal="left" vertical="center"/>
    </xf>
    <xf numFmtId="0" fontId="28" fillId="0" borderId="49" xfId="0" applyFont="1" applyBorder="1" applyAlignment="1">
      <alignment horizontal="left" vertical="center"/>
    </xf>
    <xf numFmtId="0" fontId="28" fillId="0" borderId="11" xfId="0" applyFont="1" applyBorder="1" applyAlignment="1">
      <alignment horizontal="left" vertical="center"/>
    </xf>
    <xf numFmtId="0" fontId="28" fillId="0" borderId="31" xfId="0" applyFont="1" applyBorder="1" applyAlignment="1">
      <alignment horizontal="left" vertical="center"/>
    </xf>
    <xf numFmtId="0" fontId="28" fillId="0" borderId="32" xfId="0" applyFont="1" applyBorder="1" applyAlignment="1">
      <alignment horizontal="left" vertical="center"/>
    </xf>
    <xf numFmtId="0" fontId="28" fillId="0" borderId="51" xfId="0" applyFont="1" applyBorder="1" applyAlignment="1">
      <alignment horizontal="left" vertical="center"/>
    </xf>
    <xf numFmtId="0" fontId="0" fillId="0" borderId="0" xfId="0" applyAlignment="1">
      <alignment horizontal="left" vertical="center"/>
    </xf>
    <xf numFmtId="165" fontId="28" fillId="0" borderId="58" xfId="2" applyNumberFormat="1" applyFont="1" applyBorder="1" applyAlignment="1" applyProtection="1">
      <alignment horizontal="left" vertical="center"/>
      <protection locked="0"/>
    </xf>
    <xf numFmtId="0" fontId="28" fillId="20" borderId="7" xfId="0" applyFont="1" applyFill="1" applyBorder="1" applyAlignment="1">
      <alignment horizontal="left" vertical="center"/>
    </xf>
    <xf numFmtId="0" fontId="28" fillId="0" borderId="13" xfId="0" applyFont="1" applyBorder="1" applyAlignment="1">
      <alignment horizontal="left" vertical="center"/>
    </xf>
    <xf numFmtId="0" fontId="28" fillId="0" borderId="37" xfId="0" applyFont="1" applyBorder="1" applyAlignment="1">
      <alignment horizontal="left" vertical="center"/>
    </xf>
    <xf numFmtId="0" fontId="28" fillId="0" borderId="38" xfId="0" applyFont="1" applyBorder="1" applyAlignment="1">
      <alignment horizontal="left" vertical="center"/>
    </xf>
    <xf numFmtId="0" fontId="28" fillId="0" borderId="20" xfId="0" applyFont="1" applyBorder="1" applyAlignment="1">
      <alignment horizontal="left" vertical="center"/>
    </xf>
    <xf numFmtId="0" fontId="28" fillId="0" borderId="22" xfId="0" applyFont="1" applyBorder="1" applyAlignment="1">
      <alignment horizontal="left" vertical="center"/>
    </xf>
    <xf numFmtId="0" fontId="28" fillId="0" borderId="33" xfId="0" applyFont="1" applyBorder="1" applyAlignment="1">
      <alignment horizontal="left" vertical="center"/>
    </xf>
    <xf numFmtId="0" fontId="35" fillId="0" borderId="0" xfId="0" applyFont="1" applyAlignment="1">
      <alignment horizontal="center" vertical="center"/>
    </xf>
    <xf numFmtId="0" fontId="28" fillId="21" borderId="28" xfId="0" applyFont="1" applyFill="1" applyBorder="1" applyAlignment="1">
      <alignment horizontal="left" vertical="center"/>
    </xf>
    <xf numFmtId="0" fontId="33" fillId="21" borderId="29" xfId="0" applyFont="1" applyFill="1" applyBorder="1" applyAlignment="1">
      <alignment horizontal="left" vertical="center" wrapText="1"/>
    </xf>
    <xf numFmtId="0" fontId="33" fillId="21" borderId="30" xfId="0" applyFont="1" applyFill="1" applyBorder="1" applyAlignment="1">
      <alignment horizontal="left" vertical="center" wrapText="1"/>
    </xf>
    <xf numFmtId="0" fontId="33" fillId="21" borderId="37" xfId="0" applyFont="1" applyFill="1" applyBorder="1" applyAlignment="1">
      <alignment horizontal="left" vertical="center" wrapText="1"/>
    </xf>
    <xf numFmtId="0" fontId="33" fillId="21" borderId="0" xfId="0" applyFont="1" applyFill="1" applyAlignment="1">
      <alignment horizontal="left" vertical="center" wrapText="1"/>
    </xf>
    <xf numFmtId="0" fontId="33" fillId="21" borderId="38" xfId="0" applyFont="1" applyFill="1" applyBorder="1" applyAlignment="1">
      <alignment horizontal="left" vertical="center" wrapText="1"/>
    </xf>
    <xf numFmtId="0" fontId="33" fillId="21" borderId="37" xfId="0" applyFont="1" applyFill="1" applyBorder="1" applyAlignment="1">
      <alignment horizontal="left" vertical="center"/>
    </xf>
    <xf numFmtId="0" fontId="33" fillId="21" borderId="0" xfId="0" applyFont="1" applyFill="1" applyAlignment="1">
      <alignment horizontal="left" vertical="center"/>
    </xf>
    <xf numFmtId="0" fontId="33" fillId="21" borderId="38" xfId="0" applyFont="1" applyFill="1" applyBorder="1" applyAlignment="1">
      <alignment horizontal="left" vertical="center"/>
    </xf>
    <xf numFmtId="0" fontId="28" fillId="21" borderId="31" xfId="0" applyFont="1" applyFill="1" applyBorder="1" applyAlignment="1">
      <alignment horizontal="left" vertical="center"/>
    </xf>
    <xf numFmtId="0" fontId="28" fillId="21" borderId="32" xfId="0" applyFont="1" applyFill="1" applyBorder="1" applyAlignment="1">
      <alignment horizontal="left" vertical="center"/>
    </xf>
    <xf numFmtId="0" fontId="33" fillId="21" borderId="32" xfId="0" applyFont="1" applyFill="1" applyBorder="1" applyAlignment="1" applyProtection="1">
      <alignment horizontal="left" vertical="center" wrapText="1"/>
      <protection locked="0"/>
    </xf>
    <xf numFmtId="0" fontId="33" fillId="21" borderId="33" xfId="0" applyFont="1" applyFill="1" applyBorder="1" applyAlignment="1" applyProtection="1">
      <alignment horizontal="left" vertical="center" wrapText="1"/>
      <protection locked="0"/>
    </xf>
    <xf numFmtId="0" fontId="28" fillId="21" borderId="0" xfId="0" applyFont="1" applyFill="1" applyAlignment="1">
      <alignment horizontal="left" vertical="center"/>
    </xf>
    <xf numFmtId="0" fontId="35" fillId="22" borderId="28" xfId="0" applyFont="1" applyFill="1" applyBorder="1" applyAlignment="1">
      <alignment horizontal="left" vertical="center"/>
    </xf>
    <xf numFmtId="0" fontId="35" fillId="22" borderId="29" xfId="0" applyFont="1" applyFill="1" applyBorder="1" applyAlignment="1">
      <alignment horizontal="left" vertical="center"/>
    </xf>
    <xf numFmtId="0" fontId="35" fillId="9" borderId="37" xfId="0" applyFont="1" applyFill="1" applyBorder="1" applyAlignment="1">
      <alignment horizontal="left" vertical="center"/>
    </xf>
    <xf numFmtId="0" fontId="35" fillId="9" borderId="0" xfId="0" applyFont="1" applyFill="1" applyAlignment="1">
      <alignment horizontal="left" vertical="center"/>
    </xf>
    <xf numFmtId="0" fontId="28" fillId="9" borderId="31" xfId="0" applyFont="1" applyFill="1" applyBorder="1" applyAlignment="1">
      <alignment horizontal="left" vertical="center"/>
    </xf>
    <xf numFmtId="0" fontId="28" fillId="9" borderId="32" xfId="0" applyFont="1" applyFill="1" applyBorder="1" applyAlignment="1">
      <alignment horizontal="left" vertical="center" wrapText="1"/>
    </xf>
    <xf numFmtId="0" fontId="28" fillId="9" borderId="33" xfId="0" applyFont="1" applyFill="1" applyBorder="1" applyAlignment="1">
      <alignment horizontal="left" vertical="center" wrapText="1"/>
    </xf>
    <xf numFmtId="0" fontId="28" fillId="22" borderId="11" xfId="0" applyFont="1" applyFill="1" applyBorder="1" applyAlignment="1">
      <alignment horizontal="left" vertical="center"/>
    </xf>
    <xf numFmtId="0" fontId="28" fillId="22" borderId="12" xfId="0" applyFont="1" applyFill="1" applyBorder="1" applyAlignment="1">
      <alignment horizontal="left" vertical="center" wrapText="1"/>
    </xf>
    <xf numFmtId="0" fontId="28" fillId="22" borderId="16" xfId="0" applyFont="1" applyFill="1" applyBorder="1" applyAlignment="1">
      <alignment horizontal="left" vertical="center"/>
    </xf>
    <xf numFmtId="0" fontId="28" fillId="9" borderId="16" xfId="0" applyFont="1" applyFill="1" applyBorder="1" applyAlignment="1">
      <alignment horizontal="left" vertical="center"/>
    </xf>
    <xf numFmtId="0" fontId="28" fillId="9" borderId="17" xfId="0" applyFont="1" applyFill="1" applyBorder="1" applyAlignment="1">
      <alignment horizontal="left" vertical="center"/>
    </xf>
    <xf numFmtId="0" fontId="28" fillId="22" borderId="17" xfId="0" applyFont="1" applyFill="1" applyBorder="1" applyAlignment="1">
      <alignment horizontal="left" vertical="center"/>
    </xf>
    <xf numFmtId="0" fontId="28" fillId="22" borderId="1" xfId="0" applyFont="1" applyFill="1" applyBorder="1" applyAlignment="1">
      <alignment horizontal="left" vertical="center"/>
    </xf>
    <xf numFmtId="0" fontId="28" fillId="22" borderId="43" xfId="0" applyFont="1" applyFill="1" applyBorder="1" applyAlignment="1">
      <alignment horizontal="left" vertical="center"/>
    </xf>
    <xf numFmtId="0" fontId="28" fillId="22" borderId="50" xfId="0" applyFont="1" applyFill="1" applyBorder="1" applyAlignment="1">
      <alignment horizontal="left" vertical="center"/>
    </xf>
    <xf numFmtId="0" fontId="28" fillId="22" borderId="3" xfId="0" applyFont="1" applyFill="1" applyBorder="1" applyAlignment="1">
      <alignment horizontal="left" vertical="center"/>
    </xf>
    <xf numFmtId="0" fontId="28" fillId="22" borderId="12" xfId="0" applyFont="1" applyFill="1" applyBorder="1" applyAlignment="1">
      <alignment horizontal="left" vertical="center"/>
    </xf>
    <xf numFmtId="0" fontId="28" fillId="22" borderId="32" xfId="0" applyFont="1" applyFill="1" applyBorder="1" applyAlignment="1">
      <alignment horizontal="left" vertical="center"/>
    </xf>
    <xf numFmtId="0" fontId="28" fillId="9" borderId="50" xfId="0" applyFont="1" applyFill="1" applyBorder="1" applyAlignment="1">
      <alignment horizontal="left" vertical="center"/>
    </xf>
    <xf numFmtId="0" fontId="28" fillId="21" borderId="42" xfId="0" applyFont="1" applyFill="1" applyBorder="1" applyAlignment="1">
      <alignment horizontal="left" vertical="center"/>
    </xf>
    <xf numFmtId="0" fontId="28" fillId="9" borderId="42" xfId="0" applyFont="1" applyFill="1" applyBorder="1" applyAlignment="1">
      <alignment horizontal="left" vertical="center"/>
    </xf>
    <xf numFmtId="0" fontId="28" fillId="22" borderId="39" xfId="0" applyFont="1" applyFill="1" applyBorder="1" applyAlignment="1">
      <alignment horizontal="left" vertical="center"/>
    </xf>
    <xf numFmtId="0" fontId="28" fillId="9" borderId="3" xfId="0" applyFont="1" applyFill="1" applyBorder="1" applyAlignment="1">
      <alignment horizontal="left" vertical="center"/>
    </xf>
    <xf numFmtId="0" fontId="28" fillId="22" borderId="58" xfId="0" applyFont="1" applyFill="1" applyBorder="1" applyAlignment="1">
      <alignment horizontal="left" vertical="center"/>
    </xf>
    <xf numFmtId="0" fontId="28" fillId="9" borderId="43" xfId="0" applyFont="1" applyFill="1" applyBorder="1" applyAlignment="1">
      <alignment horizontal="left" vertical="center"/>
    </xf>
    <xf numFmtId="0" fontId="33" fillId="8" borderId="29" xfId="0" applyFont="1" applyFill="1" applyBorder="1" applyAlignment="1">
      <alignment horizontal="left" vertical="center"/>
    </xf>
    <xf numFmtId="0" fontId="33" fillId="8" borderId="7" xfId="0" applyFont="1" applyFill="1" applyBorder="1" applyAlignment="1">
      <alignment horizontal="left" vertical="center"/>
    </xf>
    <xf numFmtId="0" fontId="28" fillId="22" borderId="21" xfId="0" applyFont="1" applyFill="1" applyBorder="1" applyAlignment="1">
      <alignment horizontal="left" vertical="center"/>
    </xf>
    <xf numFmtId="0" fontId="28" fillId="21" borderId="32" xfId="0" applyFont="1" applyFill="1" applyBorder="1" applyAlignment="1">
      <alignment horizontal="left" vertical="center" wrapText="1"/>
    </xf>
    <xf numFmtId="0" fontId="28" fillId="21" borderId="21" xfId="0" applyFont="1" applyFill="1" applyBorder="1" applyAlignment="1">
      <alignment horizontal="left" vertical="center"/>
    </xf>
    <xf numFmtId="0" fontId="28" fillId="22" borderId="42" xfId="0" applyFont="1" applyFill="1" applyBorder="1" applyAlignment="1">
      <alignment horizontal="left" vertical="center"/>
    </xf>
    <xf numFmtId="0" fontId="28" fillId="9" borderId="28" xfId="0" applyFont="1" applyFill="1" applyBorder="1" applyAlignment="1">
      <alignment horizontal="left" vertical="center"/>
    </xf>
    <xf numFmtId="0" fontId="28" fillId="9" borderId="29" xfId="0" applyFont="1" applyFill="1" applyBorder="1" applyAlignment="1">
      <alignment horizontal="left" vertical="center"/>
    </xf>
    <xf numFmtId="0" fontId="28" fillId="22" borderId="8" xfId="0" applyFont="1" applyFill="1" applyBorder="1" applyAlignment="1">
      <alignment horizontal="left" vertical="center"/>
    </xf>
    <xf numFmtId="0" fontId="28" fillId="21" borderId="10" xfId="0" applyFont="1" applyFill="1" applyBorder="1" applyAlignment="1">
      <alignment horizontal="left" vertical="center"/>
    </xf>
    <xf numFmtId="0" fontId="31" fillId="21" borderId="43" xfId="0" applyFont="1" applyFill="1" applyBorder="1" applyAlignment="1">
      <alignment horizontal="left" vertical="center"/>
    </xf>
    <xf numFmtId="0" fontId="31" fillId="21" borderId="42" xfId="0" applyFont="1" applyFill="1" applyBorder="1" applyAlignment="1">
      <alignment horizontal="left" vertical="center"/>
    </xf>
    <xf numFmtId="165" fontId="31" fillId="21" borderId="44" xfId="2" applyNumberFormat="1" applyFont="1" applyFill="1" applyBorder="1" applyAlignment="1">
      <alignment horizontal="left" vertical="center"/>
    </xf>
    <xf numFmtId="165" fontId="31" fillId="21" borderId="12" xfId="2" applyNumberFormat="1" applyFont="1" applyFill="1" applyBorder="1" applyAlignment="1">
      <alignment horizontal="left" vertical="center"/>
    </xf>
    <xf numFmtId="165" fontId="31" fillId="21" borderId="58" xfId="2" applyNumberFormat="1" applyFont="1" applyFill="1" applyBorder="1" applyAlignment="1">
      <alignment horizontal="left" vertical="center"/>
    </xf>
    <xf numFmtId="165" fontId="31" fillId="21" borderId="48" xfId="2" applyNumberFormat="1" applyFont="1" applyFill="1" applyBorder="1" applyAlignment="1">
      <alignment horizontal="left" vertical="center"/>
    </xf>
    <xf numFmtId="165" fontId="31" fillId="21" borderId="21" xfId="2" applyNumberFormat="1" applyFont="1" applyFill="1" applyBorder="1" applyAlignment="1">
      <alignment horizontal="left" vertical="center"/>
    </xf>
    <xf numFmtId="165" fontId="31" fillId="21" borderId="59" xfId="2" applyNumberFormat="1" applyFont="1" applyFill="1" applyBorder="1" applyAlignment="1">
      <alignment horizontal="left" vertical="center"/>
    </xf>
    <xf numFmtId="0" fontId="28" fillId="9" borderId="8" xfId="0" applyFont="1" applyFill="1" applyBorder="1" applyAlignment="1">
      <alignment horizontal="left" vertical="center"/>
    </xf>
    <xf numFmtId="0" fontId="28" fillId="9" borderId="39" xfId="0" applyFont="1" applyFill="1" applyBorder="1" applyAlignment="1">
      <alignment horizontal="left" vertical="center"/>
    </xf>
    <xf numFmtId="0" fontId="28" fillId="9" borderId="20" xfId="0" applyFont="1" applyFill="1" applyBorder="1" applyAlignment="1">
      <alignment horizontal="left" vertical="center"/>
    </xf>
    <xf numFmtId="0" fontId="28" fillId="22" borderId="20" xfId="0" applyFont="1" applyFill="1" applyBorder="1" applyAlignment="1">
      <alignment horizontal="left" vertical="center"/>
    </xf>
    <xf numFmtId="0" fontId="28" fillId="22" borderId="3" xfId="0" applyFont="1" applyFill="1" applyBorder="1" applyAlignment="1">
      <alignment horizontal="center" vertical="center"/>
    </xf>
    <xf numFmtId="0" fontId="28" fillId="9" borderId="3" xfId="0" applyFont="1" applyFill="1" applyBorder="1" applyAlignment="1">
      <alignment horizontal="center" vertical="center"/>
    </xf>
    <xf numFmtId="0" fontId="28" fillId="9" borderId="49" xfId="0" applyFont="1" applyFill="1" applyBorder="1" applyAlignment="1">
      <alignment horizontal="left" vertical="center"/>
    </xf>
    <xf numFmtId="0" fontId="31" fillId="23" borderId="43" xfId="0" applyFont="1" applyFill="1" applyBorder="1" applyAlignment="1">
      <alignment horizontal="left" vertical="center"/>
    </xf>
    <xf numFmtId="0" fontId="31" fillId="23" borderId="42" xfId="0" applyFont="1" applyFill="1" applyBorder="1" applyAlignment="1">
      <alignment horizontal="left" vertical="center"/>
    </xf>
    <xf numFmtId="165" fontId="28" fillId="23" borderId="49" xfId="2" applyNumberFormat="1" applyFont="1" applyFill="1" applyBorder="1" applyAlignment="1">
      <alignment horizontal="left" vertical="center"/>
    </xf>
    <xf numFmtId="0" fontId="28" fillId="9" borderId="45" xfId="0" applyFont="1" applyFill="1" applyBorder="1" applyAlignment="1">
      <alignment horizontal="left" vertical="center"/>
    </xf>
    <xf numFmtId="0" fontId="35" fillId="22" borderId="8" xfId="0" applyFont="1" applyFill="1" applyBorder="1" applyAlignment="1">
      <alignment horizontal="left" vertical="center"/>
    </xf>
    <xf numFmtId="0" fontId="35" fillId="22" borderId="39" xfId="0" applyFont="1" applyFill="1" applyBorder="1" applyAlignment="1">
      <alignment horizontal="left" vertical="center"/>
    </xf>
    <xf numFmtId="0" fontId="28" fillId="22" borderId="39" xfId="0" applyFont="1" applyFill="1" applyBorder="1" applyAlignment="1">
      <alignment horizontal="left" vertical="center" wrapText="1"/>
    </xf>
    <xf numFmtId="165" fontId="37" fillId="23" borderId="3" xfId="2" applyNumberFormat="1" applyFont="1" applyFill="1" applyBorder="1" applyAlignment="1">
      <alignment horizontal="right" vertical="center" wrapText="1"/>
    </xf>
    <xf numFmtId="165" fontId="28" fillId="23" borderId="3" xfId="2" applyNumberFormat="1" applyFont="1" applyFill="1" applyBorder="1" applyAlignment="1">
      <alignment vertical="center"/>
    </xf>
    <xf numFmtId="0" fontId="28" fillId="22" borderId="16" xfId="0" applyFont="1" applyFill="1" applyBorder="1" applyAlignment="1">
      <alignment horizontal="left" vertical="center" wrapText="1"/>
    </xf>
    <xf numFmtId="0" fontId="28" fillId="3" borderId="0" xfId="0" applyFont="1" applyFill="1" applyAlignment="1">
      <alignment horizontal="left" vertical="center"/>
    </xf>
    <xf numFmtId="0" fontId="28" fillId="3" borderId="0" xfId="0" applyFont="1" applyFill="1" applyAlignment="1" applyProtection="1">
      <alignment horizontal="left" vertical="center"/>
      <protection locked="0"/>
    </xf>
    <xf numFmtId="165" fontId="37" fillId="3" borderId="0" xfId="2" applyNumberFormat="1" applyFont="1" applyFill="1" applyAlignment="1" applyProtection="1">
      <alignment horizontal="left" vertical="center" wrapText="1"/>
      <protection locked="0"/>
    </xf>
    <xf numFmtId="165" fontId="28" fillId="3" borderId="0" xfId="2" applyNumberFormat="1" applyFont="1" applyFill="1" applyAlignment="1" applyProtection="1">
      <alignment horizontal="left" vertical="center"/>
      <protection locked="0"/>
    </xf>
    <xf numFmtId="0" fontId="33" fillId="3" borderId="0" xfId="0" applyFont="1" applyFill="1" applyAlignment="1">
      <alignment horizontal="left" vertical="center" wrapText="1"/>
    </xf>
    <xf numFmtId="0" fontId="33" fillId="3" borderId="0" xfId="0" applyFont="1" applyFill="1" applyAlignment="1">
      <alignment horizontal="left" vertical="center"/>
    </xf>
    <xf numFmtId="0" fontId="35" fillId="3" borderId="0" xfId="0" applyFont="1" applyFill="1" applyAlignment="1" applyProtection="1">
      <alignment horizontal="left" vertical="center"/>
      <protection locked="0"/>
    </xf>
    <xf numFmtId="0" fontId="45" fillId="3" borderId="0" xfId="0" applyFont="1" applyFill="1" applyAlignment="1">
      <alignment horizontal="center" vertical="center" wrapText="1"/>
    </xf>
    <xf numFmtId="0" fontId="35" fillId="3" borderId="0" xfId="0" applyFont="1" applyFill="1" applyAlignment="1">
      <alignment horizontal="left" vertical="center"/>
    </xf>
    <xf numFmtId="0" fontId="31" fillId="3" borderId="0" xfId="0" applyFont="1" applyFill="1" applyAlignment="1">
      <alignment horizontal="left" vertical="center"/>
    </xf>
    <xf numFmtId="165" fontId="28" fillId="3" borderId="0" xfId="2" applyNumberFormat="1" applyFont="1" applyFill="1" applyAlignment="1">
      <alignment horizontal="left" vertical="center"/>
    </xf>
    <xf numFmtId="165" fontId="28" fillId="3" borderId="0" xfId="0" applyNumberFormat="1" applyFont="1" applyFill="1" applyAlignment="1" applyProtection="1">
      <alignment horizontal="left" vertical="center"/>
      <protection locked="0"/>
    </xf>
    <xf numFmtId="0" fontId="35" fillId="3" borderId="0" xfId="0" applyFont="1" applyFill="1" applyAlignment="1">
      <alignment horizontal="center" vertical="center"/>
    </xf>
    <xf numFmtId="0" fontId="39" fillId="3" borderId="0" xfId="0" applyFont="1" applyFill="1" applyAlignment="1">
      <alignment horizontal="center" vertical="center" wrapText="1"/>
    </xf>
    <xf numFmtId="0" fontId="28" fillId="3" borderId="0" xfId="0" applyFont="1" applyFill="1" applyAlignment="1" applyProtection="1">
      <alignment horizontal="left" vertical="center" wrapText="1"/>
      <protection locked="0"/>
    </xf>
    <xf numFmtId="0" fontId="31" fillId="21" borderId="20" xfId="0" applyFont="1" applyFill="1" applyBorder="1" applyAlignment="1">
      <alignment horizontal="left" vertical="center"/>
    </xf>
    <xf numFmtId="0" fontId="31" fillId="23" borderId="16" xfId="0" applyFont="1" applyFill="1" applyBorder="1" applyAlignment="1">
      <alignment horizontal="left" vertical="center"/>
    </xf>
    <xf numFmtId="165" fontId="31" fillId="23" borderId="58" xfId="2" applyNumberFormat="1" applyFont="1" applyFill="1" applyBorder="1" applyAlignment="1">
      <alignment horizontal="left" vertical="center"/>
    </xf>
    <xf numFmtId="0" fontId="0" fillId="15" borderId="0" xfId="0" applyFill="1" applyAlignment="1">
      <alignment horizontal="left"/>
    </xf>
    <xf numFmtId="0" fontId="0" fillId="24" borderId="1" xfId="0" applyFill="1" applyBorder="1" applyAlignment="1">
      <alignment horizontal="center"/>
    </xf>
    <xf numFmtId="0" fontId="0" fillId="0" borderId="1" xfId="0" applyBorder="1" applyAlignment="1">
      <alignment horizontal="center"/>
    </xf>
    <xf numFmtId="0" fontId="0" fillId="0" borderId="1" xfId="0" applyBorder="1"/>
    <xf numFmtId="0" fontId="0" fillId="0" borderId="0" xfId="0" applyAlignment="1">
      <alignment horizontal="center" wrapText="1"/>
    </xf>
    <xf numFmtId="0" fontId="0" fillId="24" borderId="1" xfId="0" applyFill="1" applyBorder="1" applyAlignment="1">
      <alignment horizontal="center" wrapText="1"/>
    </xf>
    <xf numFmtId="165" fontId="46" fillId="3" borderId="0" xfId="2" applyNumberFormat="1" applyFont="1" applyFill="1" applyAlignment="1" applyProtection="1">
      <alignment horizontal="left" vertical="center" wrapText="1"/>
      <protection locked="0"/>
    </xf>
    <xf numFmtId="1" fontId="0" fillId="15" borderId="0" xfId="0" applyNumberFormat="1" applyFill="1" applyAlignment="1">
      <alignment horizontal="center" vertical="center"/>
    </xf>
    <xf numFmtId="165" fontId="37" fillId="0" borderId="0" xfId="2" applyNumberFormat="1" applyFont="1" applyAlignment="1" applyProtection="1">
      <alignment horizontal="right" vertical="center" wrapText="1"/>
      <protection locked="0"/>
    </xf>
    <xf numFmtId="165" fontId="37" fillId="0" borderId="0" xfId="2" applyNumberFormat="1" applyFont="1" applyAlignment="1" applyProtection="1">
      <alignment horizontal="left" vertical="center" wrapText="1"/>
      <protection locked="0"/>
    </xf>
    <xf numFmtId="0" fontId="48" fillId="8" borderId="0" xfId="0" applyFont="1" applyFill="1" applyAlignment="1">
      <alignment horizontal="center"/>
    </xf>
    <xf numFmtId="0" fontId="0" fillId="0" borderId="2" xfId="0" applyBorder="1"/>
    <xf numFmtId="0" fontId="31" fillId="3" borderId="0" xfId="0" applyFont="1" applyFill="1" applyAlignment="1">
      <alignment horizontal="left" vertical="center" wrapText="1"/>
    </xf>
    <xf numFmtId="165" fontId="31" fillId="0" borderId="0" xfId="2" applyNumberFormat="1" applyFont="1" applyAlignment="1">
      <alignment horizontal="left" vertical="center" wrapText="1"/>
    </xf>
    <xf numFmtId="0" fontId="28" fillId="22" borderId="53" xfId="0" applyFont="1" applyFill="1" applyBorder="1" applyAlignment="1">
      <alignment horizontal="left" vertical="center" wrapText="1"/>
    </xf>
    <xf numFmtId="0" fontId="28" fillId="22" borderId="6" xfId="0" applyFont="1" applyFill="1" applyBorder="1" applyAlignment="1">
      <alignment horizontal="left" vertical="center" wrapText="1"/>
    </xf>
    <xf numFmtId="0" fontId="35" fillId="22" borderId="16" xfId="0" applyFont="1" applyFill="1" applyBorder="1" applyAlignment="1">
      <alignment horizontal="left" vertical="center"/>
    </xf>
    <xf numFmtId="0" fontId="35" fillId="9" borderId="16" xfId="0" applyFont="1" applyFill="1" applyBorder="1" applyAlignment="1">
      <alignment horizontal="left" vertical="center"/>
    </xf>
    <xf numFmtId="0" fontId="28" fillId="22" borderId="18" xfId="0" applyFont="1" applyFill="1" applyBorder="1" applyAlignment="1">
      <alignment horizontal="left" vertical="center"/>
    </xf>
    <xf numFmtId="0" fontId="35" fillId="9" borderId="1" xfId="0" applyFont="1" applyFill="1" applyBorder="1" applyAlignment="1">
      <alignment horizontal="left" vertical="center" wrapText="1"/>
    </xf>
    <xf numFmtId="0" fontId="28" fillId="9" borderId="1" xfId="0" applyFont="1" applyFill="1" applyBorder="1" applyAlignment="1">
      <alignment horizontal="left" vertical="center"/>
    </xf>
    <xf numFmtId="0" fontId="28" fillId="9" borderId="1" xfId="0" applyFont="1" applyFill="1" applyBorder="1" applyAlignment="1" applyProtection="1">
      <alignment horizontal="left" vertical="center"/>
      <protection locked="0"/>
    </xf>
    <xf numFmtId="0" fontId="28" fillId="22" borderId="1" xfId="0" applyFont="1" applyFill="1" applyBorder="1" applyAlignment="1" applyProtection="1">
      <alignment horizontal="left" vertical="center"/>
      <protection locked="0"/>
    </xf>
    <xf numFmtId="0" fontId="28" fillId="22" borderId="1" xfId="0" applyFont="1" applyFill="1" applyBorder="1" applyAlignment="1">
      <alignment vertical="center"/>
    </xf>
    <xf numFmtId="0" fontId="28" fillId="0" borderId="1" xfId="0" applyFont="1" applyBorder="1" applyAlignment="1">
      <alignment horizontal="left" vertical="center" wrapText="1"/>
    </xf>
    <xf numFmtId="0" fontId="28" fillId="0" borderId="50" xfId="0" applyFont="1" applyBorder="1" applyAlignment="1">
      <alignment horizontal="left" vertical="center"/>
    </xf>
    <xf numFmtId="0" fontId="28" fillId="0" borderId="43" xfId="0" applyFont="1" applyBorder="1" applyAlignment="1">
      <alignment horizontal="left" vertical="center"/>
    </xf>
    <xf numFmtId="165" fontId="28" fillId="0" borderId="3" xfId="2" applyNumberFormat="1" applyFont="1" applyBorder="1" applyAlignment="1">
      <alignment vertical="center" wrapText="1"/>
    </xf>
    <xf numFmtId="165" fontId="28" fillId="0" borderId="42" xfId="2" applyNumberFormat="1" applyFont="1" applyBorder="1" applyAlignment="1">
      <alignment horizontal="left" vertical="center" wrapText="1"/>
    </xf>
    <xf numFmtId="0" fontId="28" fillId="9" borderId="58" xfId="0" applyFont="1" applyFill="1" applyBorder="1" applyAlignment="1" applyProtection="1">
      <alignment horizontal="left" vertical="center"/>
      <protection locked="0"/>
    </xf>
    <xf numFmtId="165" fontId="37" fillId="0" borderId="3" xfId="2" applyNumberFormat="1" applyFont="1" applyBorder="1" applyAlignment="1">
      <alignment horizontal="right" vertical="center" wrapText="1"/>
    </xf>
    <xf numFmtId="165" fontId="37" fillId="0" borderId="18" xfId="2" applyNumberFormat="1" applyFont="1" applyBorder="1" applyAlignment="1" applyProtection="1">
      <alignment horizontal="right" vertical="center" wrapText="1"/>
      <protection locked="0"/>
    </xf>
    <xf numFmtId="165" fontId="37" fillId="0" borderId="1" xfId="2" applyNumberFormat="1" applyFont="1" applyBorder="1" applyAlignment="1">
      <alignment horizontal="right" vertical="center" wrapText="1"/>
    </xf>
    <xf numFmtId="165" fontId="37" fillId="0" borderId="1" xfId="2" applyNumberFormat="1" applyFont="1" applyBorder="1" applyAlignment="1" applyProtection="1">
      <alignment horizontal="right" vertical="center" wrapText="1"/>
      <protection locked="0"/>
    </xf>
    <xf numFmtId="0" fontId="28" fillId="0" borderId="1" xfId="0" applyFont="1" applyBorder="1" applyAlignment="1" applyProtection="1">
      <alignment horizontal="right" vertical="center"/>
      <protection locked="0"/>
    </xf>
    <xf numFmtId="0" fontId="28" fillId="9" borderId="18" xfId="0" applyFont="1" applyFill="1" applyBorder="1" applyAlignment="1">
      <alignment horizontal="left" vertical="center"/>
    </xf>
    <xf numFmtId="165" fontId="28" fillId="0" borderId="3" xfId="0" applyNumberFormat="1" applyFont="1" applyBorder="1" applyAlignment="1">
      <alignment horizontal="right" vertical="center"/>
    </xf>
    <xf numFmtId="3" fontId="28" fillId="0" borderId="58" xfId="0" applyNumberFormat="1" applyFont="1" applyBorder="1" applyAlignment="1">
      <alignment horizontal="left" vertical="center"/>
    </xf>
    <xf numFmtId="3" fontId="10" fillId="16" borderId="1" xfId="0" applyNumberFormat="1" applyFont="1" applyFill="1" applyBorder="1" applyAlignment="1" applyProtection="1">
      <alignment horizontal="center"/>
      <protection locked="0"/>
    </xf>
    <xf numFmtId="3" fontId="10" fillId="5" borderId="1" xfId="0" applyNumberFormat="1" applyFont="1" applyFill="1" applyBorder="1" applyAlignment="1" applyProtection="1">
      <alignment horizontal="center"/>
      <protection locked="0"/>
    </xf>
    <xf numFmtId="3" fontId="10" fillId="16" borderId="58" xfId="0" applyNumberFormat="1" applyFont="1" applyFill="1" applyBorder="1" applyAlignment="1" applyProtection="1">
      <alignment horizontal="center"/>
      <protection locked="0"/>
    </xf>
    <xf numFmtId="3" fontId="10" fillId="5" borderId="58" xfId="0" applyNumberFormat="1" applyFont="1" applyFill="1" applyBorder="1" applyAlignment="1" applyProtection="1">
      <alignment horizontal="center"/>
      <protection locked="0"/>
    </xf>
    <xf numFmtId="3" fontId="10" fillId="16" borderId="18" xfId="0" applyNumberFormat="1" applyFont="1" applyFill="1" applyBorder="1" applyAlignment="1" applyProtection="1">
      <alignment horizontal="center"/>
      <protection locked="0"/>
    </xf>
    <xf numFmtId="0" fontId="28" fillId="0" borderId="16" xfId="0" applyFont="1" applyBorder="1" applyAlignment="1">
      <alignment horizontal="left" vertical="center" wrapText="1"/>
    </xf>
    <xf numFmtId="3" fontId="10" fillId="5" borderId="16" xfId="0" applyNumberFormat="1" applyFont="1" applyFill="1" applyBorder="1" applyAlignment="1" applyProtection="1">
      <alignment horizontal="center"/>
      <protection locked="0"/>
    </xf>
    <xf numFmtId="3" fontId="10" fillId="16" borderId="16" xfId="0" applyNumberFormat="1" applyFont="1" applyFill="1" applyBorder="1" applyAlignment="1" applyProtection="1">
      <alignment horizontal="center"/>
      <protection locked="0"/>
    </xf>
    <xf numFmtId="0" fontId="28" fillId="21" borderId="31" xfId="0" applyFont="1" applyFill="1" applyBorder="1" applyAlignment="1">
      <alignment horizontal="left" vertical="center" wrapText="1"/>
    </xf>
    <xf numFmtId="165" fontId="28" fillId="21" borderId="51" xfId="2" applyNumberFormat="1" applyFont="1" applyFill="1" applyBorder="1" applyAlignment="1">
      <alignment horizontal="left" vertical="center" wrapText="1"/>
    </xf>
    <xf numFmtId="0" fontId="28" fillId="21" borderId="51" xfId="0" applyFont="1" applyFill="1" applyBorder="1" applyAlignment="1">
      <alignment horizontal="left" vertical="center" wrapText="1"/>
    </xf>
    <xf numFmtId="0" fontId="51" fillId="25" borderId="38" xfId="0" applyFont="1" applyFill="1" applyBorder="1" applyAlignment="1">
      <alignment horizontal="left" vertical="center"/>
    </xf>
    <xf numFmtId="0" fontId="51" fillId="25" borderId="33" xfId="0" applyFont="1" applyFill="1" applyBorder="1" applyAlignment="1">
      <alignment horizontal="left" vertical="center"/>
    </xf>
    <xf numFmtId="0" fontId="28" fillId="25" borderId="44" xfId="0" applyFont="1" applyFill="1" applyBorder="1" applyAlignment="1">
      <alignment horizontal="left" vertical="center"/>
    </xf>
    <xf numFmtId="0" fontId="28" fillId="25" borderId="0" xfId="0" applyFont="1" applyFill="1" applyAlignment="1">
      <alignment horizontal="left" vertical="center"/>
    </xf>
    <xf numFmtId="0" fontId="28" fillId="25" borderId="32" xfId="0" applyFont="1" applyFill="1" applyBorder="1" applyAlignment="1">
      <alignment horizontal="left" vertical="center"/>
    </xf>
    <xf numFmtId="0" fontId="28" fillId="25" borderId="12" xfId="0" applyFont="1" applyFill="1" applyBorder="1" applyAlignment="1">
      <alignment horizontal="left" vertical="center"/>
    </xf>
    <xf numFmtId="0" fontId="28" fillId="25" borderId="46" xfId="0" applyFont="1" applyFill="1" applyBorder="1" applyAlignment="1">
      <alignment horizontal="left" vertical="center"/>
    </xf>
    <xf numFmtId="0" fontId="28" fillId="25" borderId="51" xfId="0" applyFont="1" applyFill="1" applyBorder="1" applyAlignment="1">
      <alignment horizontal="left" vertical="center"/>
    </xf>
    <xf numFmtId="0" fontId="28" fillId="25" borderId="3" xfId="0" applyFont="1" applyFill="1" applyBorder="1" applyAlignment="1">
      <alignment horizontal="right" vertical="center"/>
    </xf>
    <xf numFmtId="165" fontId="28" fillId="0" borderId="19" xfId="2" applyNumberFormat="1" applyFont="1" applyBorder="1" applyAlignment="1">
      <alignment horizontal="left" vertical="center"/>
    </xf>
    <xf numFmtId="165" fontId="28" fillId="0" borderId="10" xfId="2" applyNumberFormat="1" applyFont="1" applyBorder="1" applyAlignment="1" applyProtection="1">
      <alignment horizontal="left" vertical="center"/>
      <protection locked="0"/>
    </xf>
    <xf numFmtId="9" fontId="28" fillId="0" borderId="50" xfId="1" applyFont="1" applyBorder="1" applyAlignment="1" applyProtection="1">
      <alignment horizontal="left" vertical="center"/>
      <protection locked="0"/>
    </xf>
    <xf numFmtId="9" fontId="28" fillId="0" borderId="49" xfId="1" applyFont="1" applyBorder="1" applyAlignment="1" applyProtection="1">
      <alignment horizontal="left" vertical="center"/>
      <protection locked="0"/>
    </xf>
    <xf numFmtId="3" fontId="10" fillId="5" borderId="18" xfId="0" applyNumberFormat="1" applyFont="1" applyFill="1" applyBorder="1" applyAlignment="1" applyProtection="1">
      <alignment horizontal="center"/>
      <protection locked="0"/>
    </xf>
    <xf numFmtId="3" fontId="10" fillId="5" borderId="19" xfId="0" applyNumberFormat="1" applyFont="1" applyFill="1" applyBorder="1" applyAlignment="1" applyProtection="1">
      <alignment horizontal="center"/>
      <protection locked="0"/>
    </xf>
    <xf numFmtId="0" fontId="28" fillId="0" borderId="60" xfId="0" applyFont="1" applyBorder="1" applyAlignment="1">
      <alignment horizontal="left" vertical="center"/>
    </xf>
    <xf numFmtId="165" fontId="28" fillId="0" borderId="49" xfId="2" applyNumberFormat="1" applyFont="1" applyBorder="1" applyAlignment="1" applyProtection="1">
      <alignment horizontal="left" vertical="center"/>
      <protection locked="0"/>
    </xf>
    <xf numFmtId="165" fontId="28" fillId="0" borderId="50" xfId="2" applyNumberFormat="1" applyFont="1" applyBorder="1" applyAlignment="1">
      <alignment horizontal="left" vertical="center"/>
    </xf>
    <xf numFmtId="165" fontId="28" fillId="0" borderId="49" xfId="2" applyNumberFormat="1" applyFont="1" applyBorder="1" applyAlignment="1">
      <alignment horizontal="left" vertical="center"/>
    </xf>
    <xf numFmtId="165" fontId="28" fillId="0" borderId="10" xfId="2" applyNumberFormat="1" applyFont="1" applyBorder="1" applyAlignment="1">
      <alignment horizontal="left" vertical="center"/>
    </xf>
    <xf numFmtId="0" fontId="28" fillId="0" borderId="9" xfId="0" applyFont="1" applyBorder="1" applyAlignment="1" applyProtection="1">
      <alignment horizontal="left" vertical="center"/>
      <protection locked="0"/>
    </xf>
    <xf numFmtId="166" fontId="28" fillId="0" borderId="42" xfId="0" applyNumberFormat="1" applyFont="1" applyBorder="1" applyAlignment="1" applyProtection="1">
      <alignment horizontal="left" vertical="center"/>
      <protection locked="0"/>
    </xf>
    <xf numFmtId="166" fontId="28" fillId="0" borderId="39" xfId="0" applyNumberFormat="1" applyFont="1" applyBorder="1" applyAlignment="1" applyProtection="1">
      <alignment horizontal="left" vertical="center"/>
      <protection locked="0"/>
    </xf>
    <xf numFmtId="0" fontId="0" fillId="0" borderId="47" xfId="0" applyBorder="1" applyAlignment="1">
      <alignment horizontal="left" vertical="center"/>
    </xf>
    <xf numFmtId="0" fontId="28" fillId="22" borderId="62" xfId="0" applyFont="1" applyFill="1" applyBorder="1" applyAlignment="1">
      <alignment horizontal="left" vertical="center"/>
    </xf>
    <xf numFmtId="3" fontId="10" fillId="16" borderId="27" xfId="0" applyNumberFormat="1" applyFont="1" applyFill="1" applyBorder="1" applyAlignment="1" applyProtection="1">
      <alignment horizontal="center"/>
      <protection locked="0"/>
    </xf>
    <xf numFmtId="0" fontId="33" fillId="0" borderId="63" xfId="0" applyFont="1" applyBorder="1" applyAlignment="1">
      <alignment horizontal="left" vertical="center"/>
    </xf>
    <xf numFmtId="0" fontId="50" fillId="0" borderId="0" xfId="0" applyFont="1" applyAlignment="1">
      <alignment horizontal="left" vertical="center"/>
    </xf>
    <xf numFmtId="0" fontId="50" fillId="8" borderId="5" xfId="0" applyFont="1" applyFill="1" applyBorder="1" applyAlignment="1">
      <alignment horizontal="left" vertical="center"/>
    </xf>
    <xf numFmtId="0" fontId="52" fillId="8" borderId="6" xfId="0" applyFont="1" applyFill="1" applyBorder="1" applyAlignment="1">
      <alignment horizontal="left" vertical="center"/>
    </xf>
    <xf numFmtId="0" fontId="49" fillId="8" borderId="6" xfId="0" applyFont="1" applyFill="1" applyBorder="1" applyAlignment="1">
      <alignment horizontal="left" vertical="center"/>
    </xf>
    <xf numFmtId="0" fontId="50" fillId="8" borderId="6" xfId="0" applyFont="1" applyFill="1" applyBorder="1" applyAlignment="1">
      <alignment horizontal="left" vertical="center"/>
    </xf>
    <xf numFmtId="0" fontId="1" fillId="0" borderId="11" xfId="0" applyFont="1" applyBorder="1" applyAlignment="1">
      <alignment horizontal="left" vertical="center"/>
    </xf>
    <xf numFmtId="0" fontId="45" fillId="0" borderId="44" xfId="0" applyFont="1" applyBorder="1" applyAlignment="1">
      <alignment horizontal="center" vertical="center" wrapText="1"/>
    </xf>
    <xf numFmtId="0" fontId="45" fillId="0" borderId="44" xfId="0" applyFont="1" applyBorder="1" applyAlignment="1">
      <alignment horizontal="center" vertical="center"/>
    </xf>
    <xf numFmtId="0" fontId="45" fillId="0" borderId="60" xfId="0" applyFont="1" applyBorder="1" applyAlignment="1">
      <alignment horizontal="center" vertical="center" wrapText="1"/>
    </xf>
    <xf numFmtId="0" fontId="52" fillId="8" borderId="28" xfId="0" applyFont="1" applyFill="1" applyBorder="1" applyAlignment="1">
      <alignment horizontal="left" vertical="center"/>
    </xf>
    <xf numFmtId="0" fontId="52" fillId="8" borderId="29" xfId="0" applyFont="1" applyFill="1" applyBorder="1" applyAlignment="1">
      <alignment horizontal="left" vertical="center"/>
    </xf>
    <xf numFmtId="0" fontId="52" fillId="8" borderId="5" xfId="0" applyFont="1" applyFill="1" applyBorder="1" applyAlignment="1">
      <alignment horizontal="left" vertical="center"/>
    </xf>
    <xf numFmtId="0" fontId="52" fillId="8" borderId="53" xfId="0" applyFont="1" applyFill="1" applyBorder="1" applyAlignment="1">
      <alignment horizontal="left" vertical="center"/>
    </xf>
    <xf numFmtId="0" fontId="52" fillId="8" borderId="26" xfId="0" applyFont="1" applyFill="1" applyBorder="1" applyAlignment="1">
      <alignment horizontal="left" vertical="center" wrapText="1"/>
    </xf>
    <xf numFmtId="0" fontId="52" fillId="8" borderId="5" xfId="0" applyFont="1" applyFill="1" applyBorder="1" applyAlignment="1">
      <alignment horizontal="left" vertical="center" wrapText="1"/>
    </xf>
    <xf numFmtId="0" fontId="52" fillId="8" borderId="6" xfId="0" applyFont="1" applyFill="1" applyBorder="1" applyAlignment="1">
      <alignment horizontal="left" vertical="center" wrapText="1"/>
    </xf>
    <xf numFmtId="0" fontId="52" fillId="8" borderId="53" xfId="0" applyFont="1" applyFill="1" applyBorder="1" applyAlignment="1">
      <alignment horizontal="left" vertical="center" wrapText="1"/>
    </xf>
    <xf numFmtId="0" fontId="52" fillId="8" borderId="7" xfId="0" applyFont="1" applyFill="1" applyBorder="1" applyAlignment="1">
      <alignment horizontal="left" vertical="center" wrapText="1"/>
    </xf>
    <xf numFmtId="0" fontId="49" fillId="8" borderId="5" xfId="0" applyFont="1" applyFill="1" applyBorder="1" applyAlignment="1">
      <alignment horizontal="left" vertical="center"/>
    </xf>
    <xf numFmtId="0" fontId="49" fillId="8" borderId="29" xfId="0" applyFont="1" applyFill="1" applyBorder="1" applyAlignment="1">
      <alignment horizontal="left" vertical="center"/>
    </xf>
    <xf numFmtId="0" fontId="49" fillId="8" borderId="7" xfId="0" applyFont="1" applyFill="1" applyBorder="1" applyAlignment="1">
      <alignment horizontal="left" vertical="center"/>
    </xf>
    <xf numFmtId="10" fontId="0" fillId="11" borderId="29" xfId="0" applyNumberFormat="1" applyFill="1" applyBorder="1" applyAlignment="1">
      <alignment horizontal="center"/>
    </xf>
    <xf numFmtId="10" fontId="0" fillId="11" borderId="32" xfId="0" applyNumberFormat="1" applyFill="1" applyBorder="1" applyAlignment="1">
      <alignment horizontal="center"/>
    </xf>
    <xf numFmtId="0" fontId="36" fillId="3" borderId="37" xfId="0" applyFont="1" applyFill="1" applyBorder="1" applyAlignment="1">
      <alignment horizontal="left" vertical="center" wrapText="1"/>
    </xf>
    <xf numFmtId="165" fontId="31" fillId="21" borderId="18" xfId="2" applyNumberFormat="1" applyFont="1" applyFill="1" applyBorder="1" applyAlignment="1">
      <alignment horizontal="center" vertical="center" wrapText="1"/>
    </xf>
    <xf numFmtId="165" fontId="28" fillId="0" borderId="18" xfId="2" applyNumberFormat="1" applyFont="1" applyBorder="1" applyAlignment="1">
      <alignment horizontal="right" vertical="center" wrapText="1"/>
    </xf>
    <xf numFmtId="165" fontId="28" fillId="23" borderId="3" xfId="2" applyNumberFormat="1" applyFont="1" applyFill="1" applyBorder="1" applyAlignment="1">
      <alignment horizontal="right" vertical="center"/>
    </xf>
    <xf numFmtId="165" fontId="31" fillId="21" borderId="19" xfId="2" applyNumberFormat="1" applyFont="1" applyFill="1" applyBorder="1" applyAlignment="1">
      <alignment horizontal="left" vertical="center"/>
    </xf>
    <xf numFmtId="3" fontId="10" fillId="0" borderId="1" xfId="0" applyNumberFormat="1" applyFont="1" applyBorder="1" applyAlignment="1" applyProtection="1">
      <alignment horizontal="center"/>
      <protection locked="0"/>
    </xf>
    <xf numFmtId="9" fontId="10" fillId="16" borderId="1" xfId="1" applyFont="1" applyFill="1" applyBorder="1" applyAlignment="1" applyProtection="1">
      <alignment horizontal="center"/>
      <protection locked="0"/>
    </xf>
    <xf numFmtId="3" fontId="10" fillId="0" borderId="18" xfId="0" applyNumberFormat="1" applyFont="1" applyBorder="1" applyAlignment="1" applyProtection="1">
      <alignment horizontal="center"/>
      <protection locked="0"/>
    </xf>
    <xf numFmtId="165" fontId="10" fillId="16" borderId="1" xfId="2" applyNumberFormat="1" applyFont="1" applyFill="1" applyBorder="1" applyAlignment="1" applyProtection="1">
      <alignment horizontal="center"/>
      <protection locked="0"/>
    </xf>
    <xf numFmtId="165" fontId="37" fillId="0" borderId="27" xfId="2" applyNumberFormat="1" applyFont="1" applyBorder="1" applyAlignment="1" applyProtection="1">
      <alignment horizontal="right" vertical="center" wrapText="1"/>
      <protection locked="0"/>
    </xf>
    <xf numFmtId="9" fontId="10" fillId="5" borderId="1" xfId="1" applyFont="1" applyFill="1" applyBorder="1" applyAlignment="1" applyProtection="1">
      <alignment horizontal="center"/>
      <protection locked="0"/>
    </xf>
    <xf numFmtId="43" fontId="53" fillId="0" borderId="2" xfId="2" applyFont="1" applyBorder="1" applyAlignment="1">
      <alignment vertical="center"/>
    </xf>
    <xf numFmtId="1" fontId="28" fillId="0" borderId="1" xfId="0" applyNumberFormat="1" applyFont="1" applyBorder="1" applyAlignment="1" applyProtection="1">
      <alignment horizontal="right" vertical="center"/>
      <protection locked="0"/>
    </xf>
    <xf numFmtId="3" fontId="10" fillId="0" borderId="63" xfId="0" applyNumberFormat="1" applyFont="1" applyBorder="1" applyAlignment="1" applyProtection="1">
      <alignment horizontal="center"/>
      <protection locked="0"/>
    </xf>
    <xf numFmtId="0" fontId="28" fillId="22" borderId="38" xfId="0" applyFont="1" applyFill="1" applyBorder="1" applyAlignment="1">
      <alignment horizontal="left" vertical="center" wrapText="1"/>
    </xf>
    <xf numFmtId="3" fontId="10" fillId="16" borderId="30" xfId="0" applyNumberFormat="1" applyFont="1" applyFill="1" applyBorder="1" applyAlignment="1" applyProtection="1">
      <alignment horizontal="center"/>
      <protection locked="0"/>
    </xf>
    <xf numFmtId="3" fontId="10" fillId="5" borderId="22" xfId="0" applyNumberFormat="1" applyFont="1" applyFill="1" applyBorder="1" applyAlignment="1" applyProtection="1">
      <alignment horizontal="center"/>
      <protection locked="0"/>
    </xf>
    <xf numFmtId="0" fontId="35" fillId="22" borderId="1" xfId="0" applyFont="1" applyFill="1" applyBorder="1" applyAlignment="1">
      <alignment horizontal="left" vertical="center" wrapText="1"/>
    </xf>
    <xf numFmtId="9" fontId="28" fillId="0" borderId="49" xfId="2" applyNumberFormat="1" applyFont="1" applyBorder="1" applyAlignment="1">
      <alignment vertical="center" wrapText="1"/>
    </xf>
    <xf numFmtId="3" fontId="10" fillId="22" borderId="1" xfId="0" applyNumberFormat="1" applyFont="1" applyFill="1" applyBorder="1" applyAlignment="1" applyProtection="1">
      <alignment horizontal="center"/>
      <protection locked="0"/>
    </xf>
    <xf numFmtId="3" fontId="10" fillId="22" borderId="18" xfId="0" applyNumberFormat="1" applyFont="1" applyFill="1" applyBorder="1" applyAlignment="1" applyProtection="1">
      <alignment horizontal="center"/>
      <protection locked="0"/>
    </xf>
    <xf numFmtId="3" fontId="10" fillId="9" borderId="1" xfId="0" applyNumberFormat="1" applyFont="1" applyFill="1" applyBorder="1" applyAlignment="1" applyProtection="1">
      <alignment horizontal="center"/>
      <protection locked="0"/>
    </xf>
    <xf numFmtId="3" fontId="10" fillId="9" borderId="58" xfId="0" applyNumberFormat="1" applyFont="1" applyFill="1" applyBorder="1" applyAlignment="1" applyProtection="1">
      <alignment horizontal="center"/>
      <protection locked="0"/>
    </xf>
    <xf numFmtId="3" fontId="10" fillId="22" borderId="19" xfId="0" applyNumberFormat="1" applyFont="1" applyFill="1" applyBorder="1" applyAlignment="1" applyProtection="1">
      <alignment horizontal="center"/>
      <protection locked="0"/>
    </xf>
    <xf numFmtId="0" fontId="28" fillId="22" borderId="52" xfId="0" applyFont="1" applyFill="1" applyBorder="1" applyAlignment="1">
      <alignment horizontal="left" vertical="center"/>
    </xf>
    <xf numFmtId="165" fontId="37" fillId="9" borderId="1" xfId="2" applyNumberFormat="1" applyFont="1" applyFill="1" applyBorder="1" applyAlignment="1">
      <alignment horizontal="left" vertical="center" wrapText="1"/>
    </xf>
    <xf numFmtId="165" fontId="37" fillId="9" borderId="58" xfId="2" applyNumberFormat="1" applyFont="1" applyFill="1" applyBorder="1" applyAlignment="1" applyProtection="1">
      <alignment horizontal="left" vertical="center" wrapText="1"/>
      <protection locked="0"/>
    </xf>
    <xf numFmtId="165" fontId="28" fillId="22" borderId="18" xfId="2" applyNumberFormat="1" applyFont="1" applyFill="1" applyBorder="1" applyAlignment="1" applyProtection="1">
      <alignment horizontal="left" vertical="center" wrapText="1"/>
      <protection locked="0"/>
    </xf>
    <xf numFmtId="165" fontId="37" fillId="22" borderId="58" xfId="2" applyNumberFormat="1" applyFont="1" applyFill="1" applyBorder="1" applyAlignment="1" applyProtection="1">
      <alignment horizontal="left" vertical="center" wrapText="1"/>
      <protection locked="0"/>
    </xf>
    <xf numFmtId="165" fontId="37" fillId="22" borderId="19" xfId="2" applyNumberFormat="1" applyFont="1" applyFill="1" applyBorder="1" applyAlignment="1" applyProtection="1">
      <alignment horizontal="left" vertical="center" wrapText="1"/>
      <protection locked="0"/>
    </xf>
    <xf numFmtId="165" fontId="37" fillId="22" borderId="1" xfId="2" applyNumberFormat="1" applyFont="1" applyFill="1" applyBorder="1" applyAlignment="1">
      <alignment horizontal="left" vertical="center" wrapText="1"/>
    </xf>
    <xf numFmtId="165" fontId="37" fillId="0" borderId="1" xfId="2" applyNumberFormat="1" applyFont="1" applyBorder="1" applyAlignment="1">
      <alignment vertical="center" wrapText="1"/>
    </xf>
    <xf numFmtId="0" fontId="0" fillId="9" borderId="1" xfId="0" applyFill="1" applyBorder="1" applyAlignment="1">
      <alignment vertical="center" wrapText="1"/>
    </xf>
    <xf numFmtId="3" fontId="10" fillId="15" borderId="18" xfId="0" applyNumberFormat="1" applyFont="1" applyFill="1" applyBorder="1" applyAlignment="1" applyProtection="1">
      <alignment horizontal="center"/>
      <protection locked="0"/>
    </xf>
    <xf numFmtId="9" fontId="28" fillId="23" borderId="1" xfId="0" applyNumberFormat="1" applyFont="1" applyFill="1" applyBorder="1" applyAlignment="1">
      <alignment horizontal="left" vertical="center"/>
    </xf>
    <xf numFmtId="3" fontId="10" fillId="0" borderId="50" xfId="0" applyNumberFormat="1" applyFont="1" applyBorder="1" applyAlignment="1" applyProtection="1">
      <alignment horizontal="center"/>
      <protection locked="0"/>
    </xf>
    <xf numFmtId="3" fontId="10" fillId="0" borderId="52" xfId="0" applyNumberFormat="1" applyFont="1" applyBorder="1" applyAlignment="1" applyProtection="1">
      <alignment horizontal="center"/>
      <protection locked="0"/>
    </xf>
    <xf numFmtId="165" fontId="28" fillId="0" borderId="1" xfId="2" applyNumberFormat="1" applyFont="1" applyBorder="1" applyAlignment="1">
      <alignment horizontal="left" vertical="center"/>
    </xf>
    <xf numFmtId="165" fontId="28" fillId="0" borderId="41" xfId="2" applyNumberFormat="1" applyFont="1" applyBorder="1" applyAlignment="1" applyProtection="1">
      <alignment horizontal="left" vertical="center"/>
      <protection locked="0"/>
    </xf>
    <xf numFmtId="165" fontId="28" fillId="23" borderId="41" xfId="2" applyNumberFormat="1" applyFont="1" applyFill="1" applyBorder="1" applyAlignment="1">
      <alignment horizontal="left" vertical="center"/>
    </xf>
    <xf numFmtId="0" fontId="31" fillId="23" borderId="1" xfId="0" applyFont="1" applyFill="1" applyBorder="1" applyAlignment="1">
      <alignment horizontal="center" vertical="center"/>
    </xf>
    <xf numFmtId="0" fontId="31" fillId="23" borderId="50" xfId="0" applyFont="1" applyFill="1" applyBorder="1" applyAlignment="1">
      <alignment horizontal="center" vertical="center"/>
    </xf>
    <xf numFmtId="0" fontId="31" fillId="23" borderId="10" xfId="0" applyFont="1" applyFill="1" applyBorder="1" applyAlignment="1">
      <alignment horizontal="center" vertical="center"/>
    </xf>
    <xf numFmtId="0" fontId="52" fillId="8" borderId="26" xfId="0" applyFont="1" applyFill="1" applyBorder="1" applyAlignment="1">
      <alignment horizontal="center" vertical="center" wrapText="1"/>
    </xf>
    <xf numFmtId="0" fontId="52" fillId="8" borderId="26" xfId="0" applyFont="1" applyFill="1" applyBorder="1" applyAlignment="1">
      <alignment horizontal="center" vertical="center"/>
    </xf>
    <xf numFmtId="0" fontId="52" fillId="8" borderId="61" xfId="0" applyFont="1" applyFill="1" applyBorder="1" applyAlignment="1">
      <alignment horizontal="center" vertical="center" wrapText="1"/>
    </xf>
    <xf numFmtId="9" fontId="28" fillId="0" borderId="3" xfId="1" applyFont="1" applyBorder="1" applyAlignment="1" applyProtection="1">
      <alignment horizontal="center" vertical="center"/>
      <protection locked="0"/>
    </xf>
    <xf numFmtId="9" fontId="28" fillId="0" borderId="48" xfId="1" applyFont="1" applyBorder="1" applyAlignment="1" applyProtection="1">
      <alignment horizontal="center" vertical="center"/>
      <protection locked="0"/>
    </xf>
    <xf numFmtId="1" fontId="28" fillId="0" borderId="9" xfId="0" applyNumberFormat="1" applyFont="1" applyBorder="1" applyAlignment="1">
      <alignment horizontal="center" vertical="center"/>
    </xf>
    <xf numFmtId="166" fontId="28" fillId="0" borderId="3" xfId="0" applyNumberFormat="1" applyFont="1" applyBorder="1" applyAlignment="1">
      <alignment horizontal="center" vertical="center"/>
    </xf>
    <xf numFmtId="1" fontId="28" fillId="0" borderId="27" xfId="0" applyNumberFormat="1" applyFont="1" applyBorder="1" applyAlignment="1">
      <alignment horizontal="center" vertical="center"/>
    </xf>
    <xf numFmtId="3" fontId="10" fillId="5" borderId="50" xfId="0" applyNumberFormat="1" applyFont="1" applyFill="1" applyBorder="1" applyAlignment="1" applyProtection="1">
      <alignment horizontal="center"/>
      <protection locked="0"/>
    </xf>
    <xf numFmtId="1" fontId="0" fillId="15" borderId="0" xfId="0" applyNumberFormat="1" applyFill="1" applyAlignment="1">
      <alignment horizontal="center"/>
    </xf>
    <xf numFmtId="0" fontId="50" fillId="19" borderId="43" xfId="0" applyFont="1" applyFill="1" applyBorder="1" applyAlignment="1" applyProtection="1">
      <alignment horizontal="center" vertical="center" wrapText="1"/>
      <protection locked="0"/>
    </xf>
    <xf numFmtId="0" fontId="50" fillId="19" borderId="1" xfId="0" applyFont="1" applyFill="1" applyBorder="1" applyAlignment="1" applyProtection="1">
      <alignment horizontal="center" vertical="center" wrapText="1"/>
      <protection locked="0"/>
    </xf>
    <xf numFmtId="165" fontId="50" fillId="19" borderId="1" xfId="2" applyNumberFormat="1" applyFont="1" applyFill="1" applyBorder="1" applyAlignment="1" applyProtection="1">
      <alignment horizontal="center" vertical="center" wrapText="1"/>
      <protection locked="0"/>
    </xf>
    <xf numFmtId="9" fontId="50" fillId="19" borderId="1" xfId="1" applyFont="1" applyFill="1" applyBorder="1" applyAlignment="1" applyProtection="1">
      <alignment horizontal="center" vertical="center" wrapText="1"/>
      <protection locked="0"/>
    </xf>
    <xf numFmtId="0" fontId="50" fillId="26" borderId="43" xfId="0" applyFont="1" applyFill="1" applyBorder="1" applyAlignment="1" applyProtection="1">
      <alignment horizontal="center" vertical="center" wrapText="1"/>
      <protection locked="0"/>
    </xf>
    <xf numFmtId="0" fontId="50" fillId="26" borderId="1" xfId="0" applyFont="1" applyFill="1" applyBorder="1" applyAlignment="1" applyProtection="1">
      <alignment horizontal="center" vertical="center" wrapText="1"/>
      <protection locked="0"/>
    </xf>
    <xf numFmtId="165" fontId="50" fillId="26" borderId="1" xfId="2" applyNumberFormat="1" applyFont="1" applyFill="1" applyBorder="1" applyAlignment="1" applyProtection="1">
      <alignment horizontal="center" vertical="center" wrapText="1"/>
      <protection locked="0"/>
    </xf>
    <xf numFmtId="9" fontId="50" fillId="26" borderId="1" xfId="1" applyFont="1" applyFill="1" applyBorder="1" applyAlignment="1" applyProtection="1">
      <alignment horizontal="center" vertical="center" wrapText="1"/>
      <protection locked="0"/>
    </xf>
    <xf numFmtId="0" fontId="50" fillId="26" borderId="67" xfId="0" applyFont="1" applyFill="1" applyBorder="1" applyAlignment="1" applyProtection="1">
      <alignment horizontal="center" vertical="center" wrapText="1"/>
      <protection locked="0"/>
    </xf>
    <xf numFmtId="0" fontId="50" fillId="26" borderId="68" xfId="0" applyFont="1" applyFill="1" applyBorder="1" applyAlignment="1" applyProtection="1">
      <alignment horizontal="center" vertical="center" wrapText="1"/>
      <protection locked="0"/>
    </xf>
    <xf numFmtId="165" fontId="50" fillId="26" borderId="68" xfId="2" applyNumberFormat="1" applyFont="1" applyFill="1" applyBorder="1" applyAlignment="1" applyProtection="1">
      <alignment horizontal="center" vertical="center" wrapText="1"/>
      <protection locked="0"/>
    </xf>
    <xf numFmtId="9" fontId="50" fillId="26" borderId="68" xfId="1" applyFont="1" applyFill="1" applyBorder="1" applyAlignment="1" applyProtection="1">
      <alignment horizontal="center" vertical="center" wrapText="1"/>
      <protection locked="0"/>
    </xf>
    <xf numFmtId="0" fontId="50" fillId="19" borderId="68" xfId="0" applyFont="1" applyFill="1" applyBorder="1" applyAlignment="1" applyProtection="1">
      <alignment horizontal="center" vertical="center" wrapText="1"/>
      <protection locked="0"/>
    </xf>
    <xf numFmtId="165" fontId="50" fillId="19" borderId="41" xfId="2" applyNumberFormat="1" applyFont="1" applyFill="1" applyBorder="1" applyAlignment="1" applyProtection="1">
      <alignment horizontal="left" vertical="center"/>
      <protection locked="0"/>
    </xf>
    <xf numFmtId="165" fontId="10" fillId="5" borderId="1" xfId="2" applyNumberFormat="1" applyFont="1" applyFill="1" applyBorder="1" applyAlignment="1" applyProtection="1">
      <alignment horizontal="center"/>
      <protection locked="0"/>
    </xf>
    <xf numFmtId="165" fontId="10" fillId="16" borderId="58" xfId="2" applyNumberFormat="1" applyFont="1" applyFill="1" applyBorder="1" applyAlignment="1" applyProtection="1">
      <alignment horizontal="center"/>
      <protection locked="0"/>
    </xf>
    <xf numFmtId="1" fontId="28" fillId="0" borderId="10" xfId="2" applyNumberFormat="1" applyFont="1" applyBorder="1" applyAlignment="1">
      <alignment horizontal="center" vertical="center"/>
    </xf>
    <xf numFmtId="168" fontId="37" fillId="0" borderId="1" xfId="2" applyNumberFormat="1" applyFont="1" applyBorder="1" applyAlignment="1" applyProtection="1">
      <alignment horizontal="right" vertical="center" wrapText="1"/>
      <protection locked="0"/>
    </xf>
    <xf numFmtId="0" fontId="50" fillId="19" borderId="16" xfId="0" applyFont="1" applyFill="1" applyBorder="1" applyAlignment="1" applyProtection="1">
      <alignment horizontal="center" vertical="center" wrapText="1"/>
      <protection locked="0"/>
    </xf>
    <xf numFmtId="0" fontId="50" fillId="26" borderId="16" xfId="0" applyFont="1" applyFill="1" applyBorder="1" applyAlignment="1" applyProtection="1">
      <alignment horizontal="center" vertical="center" wrapText="1"/>
      <protection locked="0"/>
    </xf>
    <xf numFmtId="0" fontId="50" fillId="26" borderId="64" xfId="0" applyFont="1" applyFill="1" applyBorder="1" applyAlignment="1" applyProtection="1">
      <alignment horizontal="center" vertical="center" wrapText="1"/>
      <protection locked="0"/>
    </xf>
    <xf numFmtId="0" fontId="51" fillId="25" borderId="60" xfId="0" applyFont="1" applyFill="1" applyBorder="1" applyAlignment="1" applyProtection="1">
      <alignment horizontal="left" vertical="center"/>
      <protection locked="0"/>
    </xf>
    <xf numFmtId="0" fontId="10" fillId="5" borderId="0" xfId="0" quotePrefix="1" applyFont="1" applyFill="1" applyAlignment="1" applyProtection="1">
      <alignment horizontal="center"/>
      <protection locked="0"/>
    </xf>
    <xf numFmtId="164" fontId="10" fillId="5" borderId="50" xfId="0" applyNumberFormat="1" applyFont="1" applyFill="1" applyBorder="1" applyAlignment="1" applyProtection="1">
      <alignment horizontal="center"/>
      <protection locked="0"/>
    </xf>
    <xf numFmtId="9" fontId="28" fillId="0" borderId="27" xfId="1" applyFont="1" applyBorder="1" applyAlignment="1">
      <alignment horizontal="center" vertical="center"/>
    </xf>
    <xf numFmtId="165" fontId="28" fillId="0" borderId="61" xfId="2" applyNumberFormat="1" applyFont="1" applyBorder="1" applyAlignment="1">
      <alignment horizontal="left" vertical="center"/>
    </xf>
    <xf numFmtId="165" fontId="28" fillId="0" borderId="13" xfId="2" applyNumberFormat="1" applyFont="1" applyBorder="1" applyAlignment="1">
      <alignment horizontal="left" vertical="center"/>
    </xf>
    <xf numFmtId="165" fontId="37" fillId="0" borderId="3" xfId="2" applyNumberFormat="1" applyFont="1" applyBorder="1" applyAlignment="1" applyProtection="1">
      <alignment horizontal="right" vertical="center" wrapText="1"/>
      <protection locked="0"/>
    </xf>
    <xf numFmtId="3" fontId="0" fillId="0" borderId="19" xfId="0" applyNumberFormat="1" applyFont="1" applyBorder="1" applyAlignment="1">
      <alignment horizontal="center"/>
    </xf>
    <xf numFmtId="3" fontId="0" fillId="0" borderId="1" xfId="0" applyNumberFormat="1" applyBorder="1" applyAlignment="1" applyProtection="1">
      <alignment horizontal="center" vertical="center"/>
    </xf>
    <xf numFmtId="166" fontId="16" fillId="7" borderId="0" xfId="2" applyNumberFormat="1" applyFont="1" applyFill="1" applyAlignment="1">
      <alignment horizontal="center"/>
    </xf>
    <xf numFmtId="9" fontId="10" fillId="5" borderId="16" xfId="1" applyFont="1" applyFill="1" applyBorder="1" applyAlignment="1" applyProtection="1">
      <alignment horizontal="center"/>
      <protection locked="0"/>
    </xf>
    <xf numFmtId="9" fontId="10" fillId="5" borderId="50" xfId="1" applyFont="1" applyFill="1" applyBorder="1" applyAlignment="1" applyProtection="1">
      <alignment horizontal="center"/>
      <protection locked="0"/>
    </xf>
    <xf numFmtId="3" fontId="10" fillId="5" borderId="0" xfId="0" applyNumberFormat="1" applyFont="1" applyFill="1" applyAlignment="1" applyProtection="1">
      <alignment horizontal="center"/>
      <protection locked="0"/>
    </xf>
    <xf numFmtId="3" fontId="10" fillId="16" borderId="0" xfId="0" applyNumberFormat="1" applyFont="1" applyFill="1" applyAlignment="1" applyProtection="1">
      <alignment horizontal="center"/>
      <protection locked="0"/>
    </xf>
    <xf numFmtId="14" fontId="10" fillId="16" borderId="1" xfId="0" applyNumberFormat="1" applyFont="1" applyFill="1" applyBorder="1" applyAlignment="1" applyProtection="1">
      <alignment horizontal="center"/>
      <protection locked="0"/>
    </xf>
    <xf numFmtId="3" fontId="10" fillId="16" borderId="0" xfId="0" applyNumberFormat="1" applyFont="1" applyFill="1" applyAlignment="1" applyProtection="1">
      <alignment horizontal="center"/>
      <protection locked="0"/>
    </xf>
    <xf numFmtId="0" fontId="0" fillId="0" borderId="0" xfId="0" applyProtection="1"/>
    <xf numFmtId="0" fontId="28" fillId="22" borderId="16" xfId="0" applyFont="1" applyFill="1" applyBorder="1" applyAlignment="1" applyProtection="1">
      <alignment horizontal="left" vertical="center" wrapText="1"/>
    </xf>
    <xf numFmtId="0" fontId="28" fillId="22" borderId="1" xfId="0" applyFont="1" applyFill="1" applyBorder="1" applyAlignment="1" applyProtection="1">
      <alignment horizontal="left" vertical="center" wrapText="1"/>
    </xf>
    <xf numFmtId="0" fontId="28" fillId="22" borderId="58" xfId="0" applyFont="1" applyFill="1" applyBorder="1" applyAlignment="1" applyProtection="1">
      <alignment horizontal="left" vertical="center" wrapText="1"/>
    </xf>
    <xf numFmtId="0" fontId="28" fillId="22" borderId="1" xfId="0" applyFont="1" applyFill="1" applyBorder="1" applyAlignment="1" applyProtection="1">
      <alignment horizontal="center" vertical="center" wrapText="1"/>
    </xf>
    <xf numFmtId="0" fontId="28" fillId="22" borderId="58" xfId="0" applyFont="1" applyFill="1" applyBorder="1" applyAlignment="1" applyProtection="1">
      <alignment horizontal="center" vertical="center" wrapText="1"/>
    </xf>
    <xf numFmtId="0" fontId="0" fillId="0" borderId="0" xfId="0" applyAlignment="1" applyProtection="1">
      <alignment wrapText="1"/>
    </xf>
    <xf numFmtId="165" fontId="28" fillId="0" borderId="1" xfId="2" applyNumberFormat="1" applyFont="1" applyBorder="1" applyAlignment="1" applyProtection="1">
      <alignment horizontal="center" vertical="center" wrapText="1"/>
    </xf>
    <xf numFmtId="165" fontId="28" fillId="0" borderId="58" xfId="2" applyNumberFormat="1" applyFont="1" applyBorder="1" applyAlignment="1" applyProtection="1">
      <alignment horizontal="center" vertical="center" wrapText="1"/>
    </xf>
    <xf numFmtId="0" fontId="28" fillId="0" borderId="43" xfId="0" applyFont="1" applyBorder="1" applyAlignment="1" applyProtection="1">
      <alignment horizontal="center" vertical="center" wrapText="1"/>
    </xf>
    <xf numFmtId="0" fontId="0" fillId="0" borderId="0" xfId="0" applyAlignment="1" applyProtection="1">
      <alignment vertical="center" wrapText="1"/>
    </xf>
    <xf numFmtId="0" fontId="0" fillId="0" borderId="0" xfId="0" applyAlignment="1" applyProtection="1">
      <alignment vertical="center"/>
    </xf>
    <xf numFmtId="0" fontId="28" fillId="0" borderId="67" xfId="0" applyFont="1" applyBorder="1" applyAlignment="1" applyProtection="1">
      <alignment horizontal="center" vertical="center" wrapText="1"/>
    </xf>
    <xf numFmtId="165" fontId="28" fillId="0" borderId="68" xfId="2" applyNumberFormat="1" applyFont="1" applyBorder="1" applyAlignment="1" applyProtection="1">
      <alignment horizontal="center" vertical="center" wrapText="1"/>
    </xf>
    <xf numFmtId="165" fontId="28" fillId="0" borderId="69" xfId="2" applyNumberFormat="1" applyFont="1" applyBorder="1" applyAlignment="1" applyProtection="1">
      <alignment horizontal="center" vertical="center" wrapText="1"/>
    </xf>
    <xf numFmtId="165" fontId="28" fillId="21" borderId="65" xfId="2" applyNumberFormat="1" applyFont="1" applyFill="1" applyBorder="1" applyAlignment="1" applyProtection="1">
      <alignment vertical="center"/>
    </xf>
    <xf numFmtId="167" fontId="28" fillId="21" borderId="66" xfId="0" applyNumberFormat="1" applyFont="1" applyFill="1" applyBorder="1" applyAlignment="1" applyProtection="1">
      <alignment vertical="center"/>
    </xf>
    <xf numFmtId="1" fontId="28" fillId="21" borderId="66" xfId="0" applyNumberFormat="1" applyFont="1" applyFill="1" applyBorder="1" applyAlignment="1" applyProtection="1">
      <alignment horizontal="center" vertical="center"/>
    </xf>
    <xf numFmtId="167" fontId="31" fillId="21" borderId="33" xfId="0" applyNumberFormat="1" applyFont="1" applyFill="1" applyBorder="1" applyAlignment="1" applyProtection="1">
      <alignment vertical="center"/>
    </xf>
    <xf numFmtId="0" fontId="28" fillId="21" borderId="41" xfId="0" applyFont="1" applyFill="1" applyBorder="1" applyAlignment="1" applyProtection="1">
      <alignment horizontal="left" vertical="center" wrapText="1"/>
    </xf>
    <xf numFmtId="165" fontId="28" fillId="21" borderId="41" xfId="2" applyNumberFormat="1" applyFont="1" applyFill="1" applyBorder="1" applyAlignment="1" applyProtection="1">
      <alignment horizontal="left" vertical="center" wrapText="1"/>
    </xf>
    <xf numFmtId="9" fontId="28" fillId="21" borderId="41" xfId="1" applyFont="1" applyFill="1" applyBorder="1" applyAlignment="1" applyProtection="1">
      <alignment horizontal="center" vertical="center" wrapText="1"/>
    </xf>
    <xf numFmtId="0" fontId="41" fillId="0" borderId="0" xfId="3" applyAlignment="1" applyProtection="1">
      <alignment horizontal="left" vertical="top"/>
    </xf>
    <xf numFmtId="0" fontId="34" fillId="0" borderId="0" xfId="0" applyFont="1" applyProtection="1"/>
    <xf numFmtId="0" fontId="42" fillId="0" borderId="0" xfId="3" applyFont="1" applyAlignment="1" applyProtection="1">
      <alignment horizontal="left" vertical="top"/>
    </xf>
    <xf numFmtId="0" fontId="41" fillId="0" borderId="0" xfId="3" applyAlignment="1" applyProtection="1">
      <alignment horizontal="left" vertical="center"/>
    </xf>
    <xf numFmtId="0" fontId="41" fillId="0" borderId="0" xfId="3" applyAlignment="1" applyProtection="1">
      <alignment horizontal="left" vertical="top" wrapText="1"/>
    </xf>
    <xf numFmtId="165" fontId="43" fillId="0" borderId="1" xfId="5" applyNumberFormat="1" applyFont="1" applyBorder="1" applyAlignment="1" applyProtection="1">
      <alignment horizontal="center" vertical="center" wrapText="1"/>
    </xf>
    <xf numFmtId="165" fontId="44" fillId="0" borderId="1" xfId="5" applyNumberFormat="1" applyFont="1" applyBorder="1" applyAlignment="1" applyProtection="1">
      <alignment horizontal="center" vertical="center" wrapText="1"/>
    </xf>
    <xf numFmtId="9" fontId="1" fillId="0" borderId="58" xfId="4" applyFont="1" applyBorder="1" applyAlignment="1" applyProtection="1">
      <alignment horizontal="center" vertical="center"/>
    </xf>
    <xf numFmtId="165" fontId="43" fillId="0" borderId="68" xfId="5" applyNumberFormat="1" applyFont="1" applyBorder="1" applyAlignment="1" applyProtection="1">
      <alignment horizontal="center" vertical="center" wrapText="1"/>
    </xf>
    <xf numFmtId="165" fontId="44" fillId="0" borderId="68" xfId="5" applyNumberFormat="1" applyFont="1" applyBorder="1" applyAlignment="1" applyProtection="1">
      <alignment horizontal="center" vertical="center" wrapText="1"/>
    </xf>
    <xf numFmtId="9" fontId="1" fillId="0" borderId="69" xfId="4" applyFont="1" applyBorder="1" applyAlignment="1" applyProtection="1">
      <alignment horizontal="center" vertical="center"/>
    </xf>
    <xf numFmtId="0" fontId="43" fillId="21" borderId="31" xfId="3" applyFont="1" applyFill="1" applyBorder="1" applyAlignment="1" applyProtection="1">
      <alignment horizontal="left" vertical="center" wrapText="1"/>
    </xf>
    <xf numFmtId="3" fontId="43" fillId="21" borderId="32" xfId="3" applyNumberFormat="1" applyFont="1" applyFill="1" applyBorder="1" applyAlignment="1" applyProtection="1">
      <alignment horizontal="center" vertical="center" wrapText="1"/>
    </xf>
    <xf numFmtId="3" fontId="44" fillId="21" borderId="32" xfId="3" applyNumberFormat="1" applyFont="1" applyFill="1" applyBorder="1" applyAlignment="1" applyProtection="1">
      <alignment horizontal="center" vertical="center" wrapText="1"/>
    </xf>
    <xf numFmtId="9" fontId="1" fillId="21" borderId="33" xfId="4" applyFont="1" applyFill="1" applyBorder="1" applyAlignment="1" applyProtection="1">
      <alignment horizontal="center" vertical="center"/>
    </xf>
    <xf numFmtId="165" fontId="43" fillId="3" borderId="56" xfId="5" applyNumberFormat="1" applyFont="1" applyFill="1" applyBorder="1" applyAlignment="1" applyProtection="1">
      <alignment horizontal="left" vertical="center" wrapText="1"/>
    </xf>
    <xf numFmtId="165" fontId="43" fillId="3" borderId="57" xfId="5" applyNumberFormat="1" applyFont="1" applyFill="1" applyBorder="1" applyAlignment="1" applyProtection="1">
      <alignment horizontal="center" vertical="center" wrapText="1"/>
    </xf>
    <xf numFmtId="165" fontId="44" fillId="3" borderId="31" xfId="5" applyNumberFormat="1" applyFont="1" applyFill="1" applyBorder="1" applyAlignment="1" applyProtection="1">
      <alignment horizontal="left" vertical="center" wrapText="1"/>
    </xf>
    <xf numFmtId="165" fontId="44" fillId="3" borderId="33" xfId="5" applyNumberFormat="1" applyFont="1" applyFill="1" applyBorder="1" applyAlignment="1" applyProtection="1">
      <alignment horizontal="center" vertical="center" wrapText="1"/>
    </xf>
    <xf numFmtId="165" fontId="44" fillId="3" borderId="5" xfId="5" applyNumberFormat="1" applyFont="1" applyFill="1" applyBorder="1" applyAlignment="1" applyProtection="1">
      <alignment horizontal="left" vertical="center" wrapText="1"/>
    </xf>
    <xf numFmtId="165" fontId="44" fillId="3" borderId="7" xfId="5" applyNumberFormat="1" applyFont="1" applyFill="1" applyBorder="1" applyAlignment="1" applyProtection="1">
      <alignment horizontal="center" vertical="center" wrapText="1"/>
    </xf>
    <xf numFmtId="165" fontId="44" fillId="3" borderId="43" xfId="5" applyNumberFormat="1" applyFont="1" applyFill="1" applyBorder="1" applyAlignment="1" applyProtection="1">
      <alignment horizontal="left" vertical="center" wrapText="1"/>
    </xf>
    <xf numFmtId="165" fontId="44" fillId="3" borderId="10" xfId="5" applyNumberFormat="1" applyFont="1" applyFill="1" applyBorder="1" applyAlignment="1" applyProtection="1">
      <alignment horizontal="center" vertical="center" wrapText="1"/>
    </xf>
    <xf numFmtId="165" fontId="44" fillId="3" borderId="54" xfId="5" applyNumberFormat="1" applyFont="1" applyFill="1" applyBorder="1" applyAlignment="1" applyProtection="1">
      <alignment horizontal="left" vertical="center" wrapText="1"/>
    </xf>
    <xf numFmtId="165" fontId="44" fillId="3" borderId="55" xfId="5" applyNumberFormat="1" applyFont="1" applyFill="1" applyBorder="1" applyAlignment="1" applyProtection="1">
      <alignment horizontal="center" vertical="center" wrapText="1"/>
    </xf>
    <xf numFmtId="165" fontId="44" fillId="21" borderId="31" xfId="5" applyNumberFormat="1" applyFont="1" applyFill="1" applyBorder="1" applyAlignment="1" applyProtection="1">
      <alignment horizontal="left" vertical="center" wrapText="1"/>
    </xf>
    <xf numFmtId="165" fontId="44" fillId="21" borderId="33" xfId="5" applyNumberFormat="1" applyFont="1" applyFill="1" applyBorder="1" applyAlignment="1" applyProtection="1">
      <alignment horizontal="center" vertical="center" wrapText="1"/>
    </xf>
    <xf numFmtId="0" fontId="0" fillId="7" borderId="0" xfId="0" applyFill="1" applyAlignment="1">
      <alignment horizontal="left"/>
    </xf>
    <xf numFmtId="0" fontId="0" fillId="15" borderId="0" xfId="0" applyFill="1" applyAlignment="1">
      <alignment horizontal="left"/>
    </xf>
    <xf numFmtId="0" fontId="25" fillId="2" borderId="0" xfId="0" applyFont="1" applyFill="1" applyAlignment="1">
      <alignment horizontal="left" wrapText="1"/>
    </xf>
    <xf numFmtId="3" fontId="10" fillId="5" borderId="0" xfId="0" applyNumberFormat="1" applyFont="1" applyFill="1" applyAlignment="1" applyProtection="1">
      <alignment horizontal="center"/>
      <protection locked="0"/>
    </xf>
    <xf numFmtId="3" fontId="10" fillId="16" borderId="0" xfId="0" applyNumberFormat="1" applyFont="1" applyFill="1" applyAlignment="1" applyProtection="1">
      <alignment horizontal="center"/>
      <protection locked="0"/>
    </xf>
    <xf numFmtId="0" fontId="0" fillId="7" borderId="0" xfId="0" applyFill="1" applyAlignment="1">
      <alignment horizontal="center" vertical="center"/>
    </xf>
    <xf numFmtId="0" fontId="17" fillId="15" borderId="0" xfId="0" applyFont="1" applyFill="1" applyAlignment="1">
      <alignment horizontal="left"/>
    </xf>
    <xf numFmtId="0" fontId="19" fillId="2" borderId="0" xfId="0" applyFont="1" applyFill="1" applyAlignment="1">
      <alignment horizontal="center"/>
    </xf>
    <xf numFmtId="0" fontId="17" fillId="7" borderId="0" xfId="0" applyFont="1" applyFill="1" applyAlignment="1">
      <alignment horizontal="left"/>
    </xf>
    <xf numFmtId="0" fontId="0" fillId="15" borderId="0" xfId="0" applyFill="1" applyAlignment="1">
      <alignment horizontal="right"/>
    </xf>
    <xf numFmtId="0" fontId="0" fillId="14" borderId="0" xfId="0" applyFill="1" applyAlignment="1">
      <alignment horizontal="left" wrapText="1"/>
    </xf>
    <xf numFmtId="0" fontId="9" fillId="2" borderId="0" xfId="0" applyFont="1" applyFill="1" applyAlignment="1">
      <alignment horizontal="center" wrapText="1"/>
    </xf>
    <xf numFmtId="0" fontId="0" fillId="7" borderId="0" xfId="0" applyFill="1" applyAlignment="1">
      <alignment horizontal="right"/>
    </xf>
    <xf numFmtId="0" fontId="6" fillId="10" borderId="0" xfId="0" applyFont="1" applyFill="1" applyAlignment="1">
      <alignment horizontal="center"/>
    </xf>
    <xf numFmtId="0" fontId="7" fillId="10" borderId="0" xfId="0" applyFont="1" applyFill="1" applyAlignment="1">
      <alignment horizontal="center"/>
    </xf>
    <xf numFmtId="0" fontId="8" fillId="6" borderId="0" xfId="0" applyFont="1" applyFill="1" applyAlignment="1">
      <alignment horizontal="center"/>
    </xf>
    <xf numFmtId="0" fontId="0" fillId="0" borderId="34" xfId="0" applyBorder="1" applyAlignment="1">
      <alignment horizontal="center" vertical="center"/>
    </xf>
    <xf numFmtId="0" fontId="0" fillId="0" borderId="35" xfId="0" applyBorder="1" applyAlignment="1">
      <alignment horizontal="center" vertical="center"/>
    </xf>
    <xf numFmtId="0" fontId="0" fillId="11" borderId="23" xfId="0" applyFill="1" applyBorder="1" applyAlignment="1">
      <alignment horizontal="left"/>
    </xf>
    <xf numFmtId="0" fontId="0" fillId="11" borderId="24" xfId="0" applyFill="1" applyBorder="1" applyAlignment="1">
      <alignment horizontal="left"/>
    </xf>
    <xf numFmtId="0" fontId="0" fillId="0" borderId="36" xfId="0" applyBorder="1" applyAlignment="1">
      <alignment horizontal="center" vertical="center"/>
    </xf>
    <xf numFmtId="0" fontId="0" fillId="11" borderId="5" xfId="0" applyFill="1" applyBorder="1" applyAlignment="1">
      <alignment horizontal="left"/>
    </xf>
    <xf numFmtId="0" fontId="0" fillId="11" borderId="6" xfId="0" applyFill="1" applyBorder="1" applyAlignment="1">
      <alignment horizontal="left"/>
    </xf>
    <xf numFmtId="0" fontId="0" fillId="11" borderId="7" xfId="0" applyFill="1" applyBorder="1" applyAlignment="1">
      <alignment horizontal="left"/>
    </xf>
    <xf numFmtId="0" fontId="0" fillId="11" borderId="17" xfId="0" applyFill="1" applyBorder="1" applyAlignment="1">
      <alignment horizontal="left"/>
    </xf>
    <xf numFmtId="0" fontId="0" fillId="11" borderId="18" xfId="0" applyFill="1" applyBorder="1" applyAlignment="1">
      <alignment horizontal="left"/>
    </xf>
    <xf numFmtId="0" fontId="0" fillId="11" borderId="8" xfId="0" applyFill="1" applyBorder="1" applyAlignment="1">
      <alignment horizontal="left"/>
    </xf>
    <xf numFmtId="0" fontId="0" fillId="11" borderId="39" xfId="0" applyFill="1" applyBorder="1" applyAlignment="1">
      <alignment horizontal="left"/>
    </xf>
    <xf numFmtId="0" fontId="3" fillId="4" borderId="0" xfId="0" applyFont="1" applyFill="1" applyAlignment="1">
      <alignment horizontal="left"/>
    </xf>
    <xf numFmtId="0" fontId="0" fillId="11" borderId="32" xfId="0" applyFill="1" applyBorder="1" applyAlignment="1">
      <alignment horizontal="left"/>
    </xf>
    <xf numFmtId="0" fontId="0" fillId="11" borderId="33" xfId="0" applyFill="1" applyBorder="1" applyAlignment="1">
      <alignment horizontal="left"/>
    </xf>
    <xf numFmtId="0" fontId="0" fillId="11" borderId="20" xfId="0" applyFill="1" applyBorder="1" applyAlignment="1">
      <alignment horizontal="left"/>
    </xf>
    <xf numFmtId="0" fontId="0" fillId="11" borderId="21" xfId="0" applyFill="1" applyBorder="1" applyAlignment="1">
      <alignment horizontal="left"/>
    </xf>
    <xf numFmtId="0" fontId="0" fillId="11" borderId="22" xfId="0" applyFill="1" applyBorder="1" applyAlignment="1">
      <alignment horizontal="left"/>
    </xf>
    <xf numFmtId="0" fontId="0" fillId="11" borderId="11" xfId="0" applyFill="1" applyBorder="1" applyAlignment="1">
      <alignment horizontal="left"/>
    </xf>
    <xf numFmtId="0" fontId="0" fillId="11" borderId="12" xfId="0" applyFill="1" applyBorder="1" applyAlignment="1">
      <alignment horizontal="left"/>
    </xf>
    <xf numFmtId="0" fontId="0" fillId="11" borderId="13" xfId="0" applyFill="1" applyBorder="1" applyAlignment="1">
      <alignment horizontal="left"/>
    </xf>
    <xf numFmtId="0" fontId="0" fillId="11" borderId="16" xfId="0" applyFill="1" applyBorder="1" applyAlignment="1">
      <alignment horizontal="left"/>
    </xf>
    <xf numFmtId="0" fontId="0" fillId="11" borderId="1" xfId="0" applyFill="1" applyBorder="1" applyAlignment="1">
      <alignment horizontal="left"/>
    </xf>
    <xf numFmtId="0" fontId="0" fillId="11" borderId="26" xfId="0" applyFill="1" applyBorder="1" applyAlignment="1">
      <alignment horizontal="center"/>
    </xf>
    <xf numFmtId="0" fontId="0" fillId="11" borderId="7" xfId="0" applyFill="1" applyBorder="1" applyAlignment="1">
      <alignment horizontal="center"/>
    </xf>
    <xf numFmtId="0" fontId="0" fillId="11" borderId="3" xfId="0" applyFill="1" applyBorder="1" applyAlignment="1">
      <alignment horizontal="center"/>
    </xf>
    <xf numFmtId="0" fontId="0" fillId="11" borderId="10" xfId="0" applyFill="1" applyBorder="1" applyAlignment="1">
      <alignment horizontal="center"/>
    </xf>
    <xf numFmtId="0" fontId="5" fillId="2" borderId="0" xfId="0" applyFont="1" applyFill="1" applyAlignment="1">
      <alignment horizontal="left" vertical="center" wrapText="1"/>
    </xf>
    <xf numFmtId="0" fontId="7" fillId="10" borderId="0" xfId="0" applyFont="1" applyFill="1" applyAlignment="1">
      <alignment horizontal="center" wrapText="1"/>
    </xf>
    <xf numFmtId="0" fontId="0" fillId="11" borderId="28" xfId="0" applyFill="1" applyBorder="1" applyAlignment="1">
      <alignment horizontal="left"/>
    </xf>
    <xf numFmtId="0" fontId="0" fillId="11" borderId="29" xfId="0" applyFill="1" applyBorder="1" applyAlignment="1">
      <alignment horizontal="left"/>
    </xf>
    <xf numFmtId="0" fontId="0" fillId="11" borderId="14" xfId="0" applyFill="1" applyBorder="1" applyAlignment="1">
      <alignment horizontal="left"/>
    </xf>
    <xf numFmtId="0" fontId="0" fillId="11" borderId="15" xfId="0" applyFill="1" applyBorder="1" applyAlignment="1">
      <alignment horizontal="left"/>
    </xf>
    <xf numFmtId="0" fontId="0" fillId="11" borderId="27" xfId="0" applyFill="1" applyBorder="1" applyAlignment="1">
      <alignment horizontal="center"/>
    </xf>
    <xf numFmtId="0" fontId="0" fillId="11" borderId="9" xfId="0" applyFill="1" applyBorder="1" applyAlignment="1">
      <alignment horizontal="center"/>
    </xf>
    <xf numFmtId="0" fontId="36" fillId="3" borderId="63" xfId="0" applyFont="1" applyFill="1" applyBorder="1" applyAlignment="1">
      <alignment horizontal="center" vertical="center" wrapText="1"/>
    </xf>
    <xf numFmtId="3" fontId="10" fillId="5" borderId="3" xfId="0" applyNumberFormat="1" applyFont="1" applyFill="1" applyBorder="1" applyAlignment="1" applyProtection="1">
      <alignment horizontal="center"/>
      <protection locked="0"/>
    </xf>
    <xf numFmtId="3" fontId="10" fillId="5" borderId="50" xfId="0" applyNumberFormat="1" applyFont="1" applyFill="1" applyBorder="1" applyAlignment="1" applyProtection="1">
      <alignment horizontal="center"/>
      <protection locked="0"/>
    </xf>
    <xf numFmtId="3" fontId="10" fillId="16" borderId="27" xfId="0" applyNumberFormat="1" applyFont="1" applyFill="1" applyBorder="1" applyAlignment="1" applyProtection="1">
      <alignment horizontal="center"/>
      <protection locked="0"/>
    </xf>
    <xf numFmtId="3" fontId="10" fillId="16" borderId="52" xfId="0" applyNumberFormat="1" applyFont="1" applyFill="1" applyBorder="1" applyAlignment="1" applyProtection="1">
      <alignment horizontal="center"/>
      <protection locked="0"/>
    </xf>
    <xf numFmtId="3" fontId="10" fillId="16" borderId="3" xfId="0" applyNumberFormat="1" applyFont="1" applyFill="1" applyBorder="1" applyAlignment="1" applyProtection="1">
      <alignment horizontal="center"/>
      <protection locked="0"/>
    </xf>
    <xf numFmtId="3" fontId="10" fillId="16" borderId="10" xfId="0" applyNumberFormat="1" applyFont="1" applyFill="1" applyBorder="1" applyAlignment="1" applyProtection="1">
      <alignment horizontal="center"/>
      <protection locked="0"/>
    </xf>
    <xf numFmtId="3" fontId="10" fillId="5" borderId="10" xfId="0" applyNumberFormat="1" applyFont="1" applyFill="1" applyBorder="1" applyAlignment="1" applyProtection="1">
      <alignment horizontal="center"/>
      <protection locked="0"/>
    </xf>
    <xf numFmtId="3" fontId="10" fillId="16" borderId="9" xfId="0" applyNumberFormat="1" applyFont="1" applyFill="1" applyBorder="1" applyAlignment="1" applyProtection="1">
      <alignment horizontal="center"/>
      <protection locked="0"/>
    </xf>
    <xf numFmtId="0" fontId="52" fillId="8" borderId="5" xfId="0" applyFont="1" applyFill="1" applyBorder="1" applyAlignment="1">
      <alignment horizontal="center" vertical="center"/>
    </xf>
    <xf numFmtId="0" fontId="52" fillId="8" borderId="6" xfId="0" applyFont="1" applyFill="1" applyBorder="1" applyAlignment="1">
      <alignment horizontal="center" vertical="center"/>
    </xf>
    <xf numFmtId="0" fontId="52" fillId="8" borderId="7" xfId="0" applyFont="1" applyFill="1" applyBorder="1" applyAlignment="1">
      <alignment horizontal="center" vertical="center"/>
    </xf>
    <xf numFmtId="0" fontId="52" fillId="8" borderId="29" xfId="0" applyFont="1" applyFill="1" applyBorder="1" applyAlignment="1">
      <alignment horizontal="center" vertical="center"/>
    </xf>
    <xf numFmtId="0" fontId="52" fillId="8" borderId="21" xfId="0" applyFont="1" applyFill="1" applyBorder="1" applyAlignment="1">
      <alignment horizontal="center" vertical="center"/>
    </xf>
    <xf numFmtId="0" fontId="28" fillId="22" borderId="3" xfId="0" applyFont="1" applyFill="1" applyBorder="1" applyAlignment="1">
      <alignment vertical="center"/>
    </xf>
    <xf numFmtId="0" fontId="28" fillId="22" borderId="10" xfId="0" applyFont="1" applyFill="1" applyBorder="1" applyAlignment="1">
      <alignment vertical="center"/>
    </xf>
    <xf numFmtId="0" fontId="28" fillId="9" borderId="3" xfId="0" applyFont="1" applyFill="1" applyBorder="1" applyAlignment="1" applyProtection="1">
      <alignment horizontal="left" vertical="center"/>
      <protection locked="0"/>
    </xf>
    <xf numFmtId="0" fontId="28" fillId="9" borderId="50" xfId="0" applyFont="1" applyFill="1" applyBorder="1" applyAlignment="1" applyProtection="1">
      <alignment horizontal="left" vertical="center"/>
      <protection locked="0"/>
    </xf>
    <xf numFmtId="0" fontId="28" fillId="22" borderId="3" xfId="0" applyFont="1" applyFill="1" applyBorder="1" applyAlignment="1" applyProtection="1">
      <alignment horizontal="center" vertical="center"/>
      <protection locked="0"/>
    </xf>
    <xf numFmtId="0" fontId="28" fillId="22" borderId="42" xfId="0" applyFont="1" applyFill="1" applyBorder="1" applyAlignment="1" applyProtection="1">
      <alignment horizontal="center" vertical="center"/>
      <protection locked="0"/>
    </xf>
    <xf numFmtId="0" fontId="28" fillId="22" borderId="10" xfId="0" applyFont="1" applyFill="1" applyBorder="1" applyAlignment="1" applyProtection="1">
      <alignment horizontal="center" vertical="center"/>
      <protection locked="0"/>
    </xf>
    <xf numFmtId="0" fontId="28" fillId="22" borderId="27" xfId="0" applyFont="1" applyFill="1" applyBorder="1" applyAlignment="1" applyProtection="1">
      <alignment horizontal="center" vertical="center"/>
      <protection locked="0"/>
    </xf>
    <xf numFmtId="0" fontId="28" fillId="22" borderId="39" xfId="0" applyFont="1" applyFill="1" applyBorder="1" applyAlignment="1" applyProtection="1">
      <alignment horizontal="center" vertical="center"/>
      <protection locked="0"/>
    </xf>
    <xf numFmtId="0" fontId="28" fillId="22" borderId="9" xfId="0" applyFont="1" applyFill="1" applyBorder="1" applyAlignment="1" applyProtection="1">
      <alignment horizontal="center" vertical="center"/>
      <protection locked="0"/>
    </xf>
    <xf numFmtId="0" fontId="28" fillId="22" borderId="5" xfId="0" applyFont="1" applyFill="1" applyBorder="1" applyAlignment="1">
      <alignment horizontal="left" vertical="center" wrapText="1"/>
    </xf>
    <xf numFmtId="0" fontId="28" fillId="22" borderId="6" xfId="0" applyFont="1" applyFill="1" applyBorder="1" applyAlignment="1">
      <alignment horizontal="left" vertical="center" wrapText="1"/>
    </xf>
    <xf numFmtId="3" fontId="10" fillId="16" borderId="50" xfId="0" applyNumberFormat="1" applyFont="1" applyFill="1" applyBorder="1" applyAlignment="1" applyProtection="1">
      <alignment horizontal="center"/>
      <protection locked="0"/>
    </xf>
    <xf numFmtId="3" fontId="10" fillId="16" borderId="42" xfId="0" applyNumberFormat="1" applyFont="1" applyFill="1" applyBorder="1" applyAlignment="1" applyProtection="1">
      <alignment horizontal="center"/>
      <protection locked="0"/>
    </xf>
    <xf numFmtId="3" fontId="10" fillId="5" borderId="42" xfId="0" applyNumberFormat="1" applyFont="1" applyFill="1" applyBorder="1" applyAlignment="1" applyProtection="1">
      <alignment horizontal="center"/>
      <protection locked="0"/>
    </xf>
    <xf numFmtId="3" fontId="10" fillId="16" borderId="39" xfId="0" applyNumberFormat="1" applyFont="1" applyFill="1" applyBorder="1" applyAlignment="1" applyProtection="1">
      <alignment horizontal="center"/>
      <protection locked="0"/>
    </xf>
    <xf numFmtId="0" fontId="39" fillId="0" borderId="23" xfId="0" applyFont="1" applyBorder="1" applyAlignment="1">
      <alignment horizontal="center" vertical="center" wrapText="1"/>
    </xf>
    <xf numFmtId="0" fontId="39" fillId="0" borderId="24" xfId="0" applyFont="1" applyBorder="1" applyAlignment="1">
      <alignment horizontal="center" vertical="center" wrapText="1"/>
    </xf>
    <xf numFmtId="0" fontId="39" fillId="0" borderId="25" xfId="0" applyFont="1" applyBorder="1" applyAlignment="1">
      <alignment horizontal="center" vertical="center" wrapText="1"/>
    </xf>
    <xf numFmtId="0" fontId="33" fillId="3" borderId="34" xfId="0" applyFont="1" applyFill="1" applyBorder="1" applyAlignment="1">
      <alignment horizontal="left" vertical="center" wrapText="1"/>
    </xf>
    <xf numFmtId="0" fontId="33" fillId="3" borderId="36" xfId="0" applyFont="1" applyFill="1" applyBorder="1" applyAlignment="1">
      <alignment horizontal="left" vertical="center" wrapText="1"/>
    </xf>
    <xf numFmtId="0" fontId="33" fillId="3" borderId="35" xfId="0" applyFont="1" applyFill="1" applyBorder="1" applyAlignment="1">
      <alignment horizontal="left" vertical="center" wrapText="1"/>
    </xf>
    <xf numFmtId="0" fontId="31" fillId="3" borderId="34" xfId="0" applyFont="1" applyFill="1" applyBorder="1" applyAlignment="1">
      <alignment horizontal="left" vertical="center" wrapText="1"/>
    </xf>
    <xf numFmtId="0" fontId="31" fillId="3" borderId="36" xfId="0" applyFont="1" applyFill="1" applyBorder="1" applyAlignment="1">
      <alignment horizontal="left" vertical="center" wrapText="1"/>
    </xf>
    <xf numFmtId="0" fontId="31" fillId="3" borderId="33" xfId="0" applyFont="1" applyFill="1" applyBorder="1" applyAlignment="1">
      <alignment horizontal="left" vertical="center" wrapText="1"/>
    </xf>
    <xf numFmtId="0" fontId="31" fillId="21" borderId="8" xfId="0" applyFont="1" applyFill="1" applyBorder="1" applyAlignment="1">
      <alignment horizontal="left" vertical="center" wrapText="1"/>
    </xf>
    <xf numFmtId="0" fontId="31" fillId="21" borderId="39" xfId="0" applyFont="1" applyFill="1" applyBorder="1" applyAlignment="1">
      <alignment horizontal="left" vertical="center" wrapText="1"/>
    </xf>
    <xf numFmtId="0" fontId="33" fillId="20" borderId="30" xfId="0" applyFont="1" applyFill="1" applyBorder="1" applyAlignment="1" applyProtection="1">
      <alignment horizontal="left" vertical="center" wrapText="1"/>
      <protection locked="0"/>
    </xf>
    <xf numFmtId="0" fontId="33" fillId="20" borderId="38" xfId="0" applyFont="1" applyFill="1" applyBorder="1" applyAlignment="1" applyProtection="1">
      <alignment horizontal="left" vertical="center" wrapText="1"/>
      <protection locked="0"/>
    </xf>
    <xf numFmtId="0" fontId="33" fillId="20" borderId="33" xfId="0" applyFont="1" applyFill="1" applyBorder="1" applyAlignment="1" applyProtection="1">
      <alignment horizontal="left" vertical="center" wrapText="1"/>
      <protection locked="0"/>
    </xf>
    <xf numFmtId="0" fontId="28" fillId="21" borderId="3" xfId="0" applyFont="1" applyFill="1" applyBorder="1" applyAlignment="1">
      <alignment horizontal="left" vertical="top" wrapText="1"/>
    </xf>
    <xf numFmtId="0" fontId="28" fillId="21" borderId="50" xfId="0" applyFont="1" applyFill="1" applyBorder="1" applyAlignment="1">
      <alignment horizontal="left" vertical="top" wrapText="1"/>
    </xf>
    <xf numFmtId="3" fontId="28" fillId="0" borderId="1" xfId="0" applyNumberFormat="1" applyFont="1" applyBorder="1" applyAlignment="1" applyProtection="1">
      <alignment horizontal="center" vertical="center"/>
    </xf>
    <xf numFmtId="0" fontId="0" fillId="0" borderId="1" xfId="0" applyBorder="1" applyAlignment="1" applyProtection="1">
      <alignment horizontal="center" vertical="center"/>
    </xf>
    <xf numFmtId="0" fontId="28" fillId="22" borderId="3" xfId="0" applyFont="1" applyFill="1" applyBorder="1" applyAlignment="1">
      <alignment horizontal="left" vertical="center"/>
    </xf>
    <xf numFmtId="0" fontId="28" fillId="22" borderId="50" xfId="0" applyFont="1" applyFill="1" applyBorder="1" applyAlignment="1">
      <alignment horizontal="left" vertical="center"/>
    </xf>
    <xf numFmtId="0" fontId="28" fillId="9" borderId="3" xfId="0" applyFont="1" applyFill="1" applyBorder="1" applyAlignment="1">
      <alignment horizontal="left" vertical="center"/>
    </xf>
    <xf numFmtId="0" fontId="28" fillId="9" borderId="50" xfId="0" applyFont="1" applyFill="1" applyBorder="1" applyAlignment="1">
      <alignment horizontal="left" vertical="center"/>
    </xf>
    <xf numFmtId="165" fontId="37" fillId="3" borderId="1" xfId="2" applyNumberFormat="1" applyFont="1" applyFill="1" applyBorder="1" applyAlignment="1" applyProtection="1">
      <alignment horizontal="center" vertical="center" wrapText="1"/>
      <protection locked="0"/>
    </xf>
    <xf numFmtId="165" fontId="37" fillId="3" borderId="58" xfId="2" applyNumberFormat="1" applyFont="1" applyFill="1" applyBorder="1" applyAlignment="1" applyProtection="1">
      <alignment horizontal="center" vertical="center" wrapText="1"/>
      <protection locked="0"/>
    </xf>
    <xf numFmtId="0" fontId="28" fillId="22" borderId="8" xfId="0" applyFont="1" applyFill="1" applyBorder="1" applyAlignment="1">
      <alignment horizontal="left" vertical="center" wrapText="1"/>
    </xf>
    <xf numFmtId="0" fontId="28" fillId="22" borderId="39" xfId="0" applyFont="1" applyFill="1" applyBorder="1" applyAlignment="1">
      <alignment horizontal="left" vertical="center" wrapText="1"/>
    </xf>
    <xf numFmtId="0" fontId="28" fillId="9" borderId="44" xfId="0" applyFont="1" applyFill="1" applyBorder="1" applyAlignment="1">
      <alignment horizontal="center" vertical="center"/>
    </xf>
    <xf numFmtId="0" fontId="28" fillId="9" borderId="48" xfId="0" applyFont="1" applyFill="1" applyBorder="1" applyAlignment="1">
      <alignment horizontal="center" vertical="center"/>
    </xf>
    <xf numFmtId="0" fontId="52" fillId="8" borderId="5" xfId="0" applyFont="1" applyFill="1" applyBorder="1" applyAlignment="1" applyProtection="1">
      <alignment horizontal="center" vertical="center"/>
    </xf>
    <xf numFmtId="0" fontId="52" fillId="8" borderId="6" xfId="0" applyFont="1" applyFill="1" applyBorder="1" applyAlignment="1" applyProtection="1">
      <alignment horizontal="center" vertical="center"/>
    </xf>
    <xf numFmtId="0" fontId="52" fillId="8" borderId="7" xfId="0" applyFont="1" applyFill="1" applyBorder="1" applyAlignment="1" applyProtection="1">
      <alignment horizontal="center" vertical="center"/>
    </xf>
    <xf numFmtId="0" fontId="33" fillId="20" borderId="23" xfId="0" applyFont="1" applyFill="1" applyBorder="1" applyAlignment="1" applyProtection="1">
      <alignment horizontal="center" vertical="center" wrapText="1"/>
    </xf>
    <xf numFmtId="0" fontId="33" fillId="20" borderId="24" xfId="0" applyFont="1" applyFill="1" applyBorder="1" applyAlignment="1" applyProtection="1">
      <alignment horizontal="center" vertical="center" wrapText="1"/>
    </xf>
    <xf numFmtId="0" fontId="33" fillId="20" borderId="25" xfId="0" applyFont="1" applyFill="1" applyBorder="1" applyAlignment="1" applyProtection="1">
      <alignment horizontal="center" vertical="center" wrapText="1"/>
    </xf>
    <xf numFmtId="0" fontId="54" fillId="2" borderId="0" xfId="0" applyFont="1" applyFill="1" applyAlignment="1" applyProtection="1">
      <alignment horizontal="center" wrapText="1"/>
    </xf>
    <xf numFmtId="0" fontId="52" fillId="8" borderId="23" xfId="0" applyFont="1" applyFill="1" applyBorder="1" applyAlignment="1" applyProtection="1">
      <alignment horizontal="center" vertical="center"/>
    </xf>
    <xf numFmtId="0" fontId="52" fillId="8" borderId="25" xfId="0" applyFont="1" applyFill="1" applyBorder="1" applyAlignment="1" applyProtection="1">
      <alignment horizontal="center" vertical="center"/>
    </xf>
    <xf numFmtId="0" fontId="52" fillId="8" borderId="23" xfId="0" applyFont="1" applyFill="1" applyBorder="1" applyAlignment="1" applyProtection="1">
      <alignment horizontal="center" vertical="center" wrapText="1"/>
    </xf>
    <xf numFmtId="0" fontId="52" fillId="8" borderId="25" xfId="0" applyFont="1" applyFill="1" applyBorder="1" applyAlignment="1" applyProtection="1">
      <alignment horizontal="center" vertical="center" wrapText="1"/>
    </xf>
    <xf numFmtId="0" fontId="0" fillId="0" borderId="0" xfId="0" applyAlignment="1" applyProtection="1">
      <alignment horizontal="left" vertical="top" wrapText="1"/>
    </xf>
    <xf numFmtId="0" fontId="0" fillId="0" borderId="32" xfId="0" applyBorder="1" applyAlignment="1" applyProtection="1">
      <alignment horizontal="left" vertical="top" wrapText="1"/>
    </xf>
  </cellXfs>
  <cellStyles count="6">
    <cellStyle name="Milliers" xfId="2" builtinId="3"/>
    <cellStyle name="Milliers 2" xfId="5"/>
    <cellStyle name="Normal" xfId="0" builtinId="0"/>
    <cellStyle name="Normal 3" xfId="3"/>
    <cellStyle name="Pourcentage" xfId="1" builtinId="5"/>
    <cellStyle name="Pourcentage 2" xfId="4"/>
  </cellStyles>
  <dxfs count="0"/>
  <tableStyles count="0" defaultTableStyle="TableStyleMedium2" defaultPivotStyle="PivotStyleLight16"/>
  <colors>
    <mruColors>
      <color rgb="FFEFB000"/>
      <color rgb="FFECE6D0"/>
      <color rgb="FFE1D8B7"/>
      <color rgb="FFEC975E"/>
      <color rgb="FFC85D17"/>
      <color rgb="FFA7A7A7"/>
      <color rgb="FFF5F2E7"/>
      <color rgb="FF808080"/>
      <color rgb="FFC1E9B1"/>
      <color rgb="FF9DDD8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1.jpe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jpeg"/><Relationship Id="rId1" Type="http://schemas.openxmlformats.org/officeDocument/2006/relationships/image" Target="../media/image6.jpg"/><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0</xdr:col>
      <xdr:colOff>161510</xdr:colOff>
      <xdr:row>0</xdr:row>
      <xdr:rowOff>132521</xdr:rowOff>
    </xdr:from>
    <xdr:to>
      <xdr:col>1</xdr:col>
      <xdr:colOff>1423425</xdr:colOff>
      <xdr:row>0</xdr:row>
      <xdr:rowOff>1123950</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510" y="132521"/>
          <a:ext cx="1427922" cy="991429"/>
        </a:xfrm>
        <a:prstGeom prst="rect">
          <a:avLst/>
        </a:prstGeom>
      </xdr:spPr>
    </xdr:pic>
    <xdr:clientData/>
  </xdr:twoCellAnchor>
  <xdr:twoCellAnchor editAs="oneCell">
    <xdr:from>
      <xdr:col>1</xdr:col>
      <xdr:colOff>10341428</xdr:colOff>
      <xdr:row>0</xdr:row>
      <xdr:rowOff>81643</xdr:rowOff>
    </xdr:from>
    <xdr:to>
      <xdr:col>1</xdr:col>
      <xdr:colOff>11647048</xdr:colOff>
      <xdr:row>1</xdr:row>
      <xdr:rowOff>83004</xdr:rowOff>
    </xdr:to>
    <xdr:pic>
      <xdr:nvPicPr>
        <xdr:cNvPr id="6" name="Imag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504714" y="81643"/>
          <a:ext cx="1305620" cy="1171575"/>
        </a:xfrm>
        <a:prstGeom prst="rect">
          <a:avLst/>
        </a:prstGeom>
      </xdr:spPr>
    </xdr:pic>
    <xdr:clientData/>
  </xdr:twoCellAnchor>
  <xdr:twoCellAnchor editAs="oneCell">
    <xdr:from>
      <xdr:col>1</xdr:col>
      <xdr:colOff>4789714</xdr:colOff>
      <xdr:row>11</xdr:row>
      <xdr:rowOff>16285</xdr:rowOff>
    </xdr:from>
    <xdr:to>
      <xdr:col>1</xdr:col>
      <xdr:colOff>6393129</xdr:colOff>
      <xdr:row>11</xdr:row>
      <xdr:rowOff>639535</xdr:rowOff>
    </xdr:to>
    <xdr:pic>
      <xdr:nvPicPr>
        <xdr:cNvPr id="7" name="Imag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953000" y="5608821"/>
          <a:ext cx="1603415" cy="623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447260</xdr:colOff>
      <xdr:row>0</xdr:row>
      <xdr:rowOff>132521</xdr:rowOff>
    </xdr:from>
    <xdr:to>
      <xdr:col>3</xdr:col>
      <xdr:colOff>919961</xdr:colOff>
      <xdr:row>1</xdr:row>
      <xdr:rowOff>523046</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7260" y="132521"/>
          <a:ext cx="1428750" cy="962025"/>
        </a:xfrm>
        <a:prstGeom prst="rect">
          <a:avLst/>
        </a:prstGeom>
      </xdr:spPr>
    </xdr:pic>
    <xdr:clientData/>
  </xdr:twoCellAnchor>
  <xdr:twoCellAnchor editAs="oneCell">
    <xdr:from>
      <xdr:col>11</xdr:col>
      <xdr:colOff>0</xdr:colOff>
      <xdr:row>0</xdr:row>
      <xdr:rowOff>0</xdr:rowOff>
    </xdr:from>
    <xdr:to>
      <xdr:col>12</xdr:col>
      <xdr:colOff>1196763</xdr:colOff>
      <xdr:row>2</xdr:row>
      <xdr:rowOff>0</xdr:rowOff>
    </xdr:to>
    <xdr:pic>
      <xdr:nvPicPr>
        <xdr:cNvPr id="5" name="Ima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42304" y="0"/>
          <a:ext cx="1300053" cy="1143000"/>
        </a:xfrm>
        <a:prstGeom prst="rect">
          <a:avLst/>
        </a:prstGeom>
      </xdr:spPr>
    </xdr:pic>
    <xdr:clientData/>
  </xdr:twoCellAnchor>
  <xdr:twoCellAnchor editAs="oneCell">
    <xdr:from>
      <xdr:col>5</xdr:col>
      <xdr:colOff>728870</xdr:colOff>
      <xdr:row>108</xdr:row>
      <xdr:rowOff>29892</xdr:rowOff>
    </xdr:from>
    <xdr:to>
      <xdr:col>5</xdr:col>
      <xdr:colOff>2332285</xdr:colOff>
      <xdr:row>108</xdr:row>
      <xdr:rowOff>596282</xdr:rowOff>
    </xdr:to>
    <xdr:pic>
      <xdr:nvPicPr>
        <xdr:cNvPr id="7" name="Image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717196" y="12785109"/>
          <a:ext cx="1598543" cy="56639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14</xdr:col>
          <xdr:colOff>83820</xdr:colOff>
          <xdr:row>14</xdr:row>
          <xdr:rowOff>83820</xdr:rowOff>
        </xdr:from>
        <xdr:to>
          <xdr:col>14</xdr:col>
          <xdr:colOff>449580</xdr:colOff>
          <xdr:row>16</xdr:row>
          <xdr:rowOff>106680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1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15</xdr:row>
          <xdr:rowOff>68580</xdr:rowOff>
        </xdr:from>
        <xdr:to>
          <xdr:col>14</xdr:col>
          <xdr:colOff>449580</xdr:colOff>
          <xdr:row>17</xdr:row>
          <xdr:rowOff>83820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16</xdr:row>
          <xdr:rowOff>68580</xdr:rowOff>
        </xdr:from>
        <xdr:to>
          <xdr:col>14</xdr:col>
          <xdr:colOff>449580</xdr:colOff>
          <xdr:row>18</xdr:row>
          <xdr:rowOff>106680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1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17</xdr:row>
          <xdr:rowOff>68580</xdr:rowOff>
        </xdr:from>
        <xdr:to>
          <xdr:col>14</xdr:col>
          <xdr:colOff>449580</xdr:colOff>
          <xdr:row>19</xdr:row>
          <xdr:rowOff>106680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1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18</xdr:row>
          <xdr:rowOff>68580</xdr:rowOff>
        </xdr:from>
        <xdr:to>
          <xdr:col>14</xdr:col>
          <xdr:colOff>449580</xdr:colOff>
          <xdr:row>20</xdr:row>
          <xdr:rowOff>106680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1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22</xdr:row>
          <xdr:rowOff>68580</xdr:rowOff>
        </xdr:from>
        <xdr:to>
          <xdr:col>14</xdr:col>
          <xdr:colOff>457200</xdr:colOff>
          <xdr:row>24</xdr:row>
          <xdr:rowOff>83820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1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23</xdr:row>
          <xdr:rowOff>68580</xdr:rowOff>
        </xdr:from>
        <xdr:to>
          <xdr:col>14</xdr:col>
          <xdr:colOff>449580</xdr:colOff>
          <xdr:row>25</xdr:row>
          <xdr:rowOff>106680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1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24</xdr:row>
          <xdr:rowOff>68580</xdr:rowOff>
        </xdr:from>
        <xdr:to>
          <xdr:col>14</xdr:col>
          <xdr:colOff>449580</xdr:colOff>
          <xdr:row>26</xdr:row>
          <xdr:rowOff>106680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1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25</xdr:row>
          <xdr:rowOff>68580</xdr:rowOff>
        </xdr:from>
        <xdr:to>
          <xdr:col>14</xdr:col>
          <xdr:colOff>449580</xdr:colOff>
          <xdr:row>27</xdr:row>
          <xdr:rowOff>106680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1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26</xdr:row>
          <xdr:rowOff>68580</xdr:rowOff>
        </xdr:from>
        <xdr:to>
          <xdr:col>14</xdr:col>
          <xdr:colOff>449580</xdr:colOff>
          <xdr:row>28</xdr:row>
          <xdr:rowOff>83820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1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27</xdr:row>
          <xdr:rowOff>68580</xdr:rowOff>
        </xdr:from>
        <xdr:to>
          <xdr:col>14</xdr:col>
          <xdr:colOff>449580</xdr:colOff>
          <xdr:row>29</xdr:row>
          <xdr:rowOff>106680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1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28</xdr:row>
          <xdr:rowOff>68580</xdr:rowOff>
        </xdr:from>
        <xdr:to>
          <xdr:col>14</xdr:col>
          <xdr:colOff>449580</xdr:colOff>
          <xdr:row>30</xdr:row>
          <xdr:rowOff>106680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1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29</xdr:row>
          <xdr:rowOff>68580</xdr:rowOff>
        </xdr:from>
        <xdr:to>
          <xdr:col>14</xdr:col>
          <xdr:colOff>449580</xdr:colOff>
          <xdr:row>31</xdr:row>
          <xdr:rowOff>106680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1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30</xdr:row>
          <xdr:rowOff>68580</xdr:rowOff>
        </xdr:from>
        <xdr:to>
          <xdr:col>14</xdr:col>
          <xdr:colOff>449580</xdr:colOff>
          <xdr:row>32</xdr:row>
          <xdr:rowOff>106680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1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30</xdr:row>
          <xdr:rowOff>68580</xdr:rowOff>
        </xdr:from>
        <xdr:to>
          <xdr:col>14</xdr:col>
          <xdr:colOff>449580</xdr:colOff>
          <xdr:row>32</xdr:row>
          <xdr:rowOff>106680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1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34</xdr:row>
          <xdr:rowOff>68580</xdr:rowOff>
        </xdr:from>
        <xdr:to>
          <xdr:col>14</xdr:col>
          <xdr:colOff>449580</xdr:colOff>
          <xdr:row>36</xdr:row>
          <xdr:rowOff>106680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1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38</xdr:row>
          <xdr:rowOff>121920</xdr:rowOff>
        </xdr:from>
        <xdr:to>
          <xdr:col>14</xdr:col>
          <xdr:colOff>297180</xdr:colOff>
          <xdr:row>40</xdr:row>
          <xdr:rowOff>7620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1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37</xdr:row>
          <xdr:rowOff>160020</xdr:rowOff>
        </xdr:from>
        <xdr:to>
          <xdr:col>14</xdr:col>
          <xdr:colOff>297180</xdr:colOff>
          <xdr:row>39</xdr:row>
          <xdr:rowOff>7620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1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39</xdr:row>
          <xdr:rowOff>121920</xdr:rowOff>
        </xdr:from>
        <xdr:to>
          <xdr:col>14</xdr:col>
          <xdr:colOff>297180</xdr:colOff>
          <xdr:row>41</xdr:row>
          <xdr:rowOff>7620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1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40</xdr:row>
          <xdr:rowOff>144780</xdr:rowOff>
        </xdr:from>
        <xdr:to>
          <xdr:col>14</xdr:col>
          <xdr:colOff>297180</xdr:colOff>
          <xdr:row>42</xdr:row>
          <xdr:rowOff>7620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1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41</xdr:row>
          <xdr:rowOff>144780</xdr:rowOff>
        </xdr:from>
        <xdr:to>
          <xdr:col>14</xdr:col>
          <xdr:colOff>297180</xdr:colOff>
          <xdr:row>43</xdr:row>
          <xdr:rowOff>7620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1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42</xdr:row>
          <xdr:rowOff>121920</xdr:rowOff>
        </xdr:from>
        <xdr:to>
          <xdr:col>14</xdr:col>
          <xdr:colOff>297180</xdr:colOff>
          <xdr:row>44</xdr:row>
          <xdr:rowOff>7620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1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43</xdr:row>
          <xdr:rowOff>144780</xdr:rowOff>
        </xdr:from>
        <xdr:to>
          <xdr:col>14</xdr:col>
          <xdr:colOff>297180</xdr:colOff>
          <xdr:row>45</xdr:row>
          <xdr:rowOff>7620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1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44</xdr:row>
          <xdr:rowOff>144780</xdr:rowOff>
        </xdr:from>
        <xdr:to>
          <xdr:col>14</xdr:col>
          <xdr:colOff>297180</xdr:colOff>
          <xdr:row>46</xdr:row>
          <xdr:rowOff>7620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1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45</xdr:row>
          <xdr:rowOff>144780</xdr:rowOff>
        </xdr:from>
        <xdr:to>
          <xdr:col>14</xdr:col>
          <xdr:colOff>297180</xdr:colOff>
          <xdr:row>47</xdr:row>
          <xdr:rowOff>7620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1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46</xdr:row>
          <xdr:rowOff>144780</xdr:rowOff>
        </xdr:from>
        <xdr:to>
          <xdr:col>14</xdr:col>
          <xdr:colOff>297180</xdr:colOff>
          <xdr:row>48</xdr:row>
          <xdr:rowOff>38100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1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47</xdr:row>
          <xdr:rowOff>144780</xdr:rowOff>
        </xdr:from>
        <xdr:to>
          <xdr:col>14</xdr:col>
          <xdr:colOff>297180</xdr:colOff>
          <xdr:row>49</xdr:row>
          <xdr:rowOff>7620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1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32</xdr:row>
          <xdr:rowOff>0</xdr:rowOff>
        </xdr:from>
        <xdr:to>
          <xdr:col>14</xdr:col>
          <xdr:colOff>297180</xdr:colOff>
          <xdr:row>33</xdr:row>
          <xdr:rowOff>45720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1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30</xdr:row>
          <xdr:rowOff>144780</xdr:rowOff>
        </xdr:from>
        <xdr:to>
          <xdr:col>14</xdr:col>
          <xdr:colOff>297180</xdr:colOff>
          <xdr:row>32</xdr:row>
          <xdr:rowOff>7620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1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49</xdr:row>
          <xdr:rowOff>121920</xdr:rowOff>
        </xdr:from>
        <xdr:to>
          <xdr:col>14</xdr:col>
          <xdr:colOff>297180</xdr:colOff>
          <xdr:row>51</xdr:row>
          <xdr:rowOff>7620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1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53</xdr:row>
          <xdr:rowOff>304800</xdr:rowOff>
        </xdr:from>
        <xdr:to>
          <xdr:col>14</xdr:col>
          <xdr:colOff>297180</xdr:colOff>
          <xdr:row>55</xdr:row>
          <xdr:rowOff>38100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1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55</xdr:row>
          <xdr:rowOff>144780</xdr:rowOff>
        </xdr:from>
        <xdr:to>
          <xdr:col>14</xdr:col>
          <xdr:colOff>297180</xdr:colOff>
          <xdr:row>57</xdr:row>
          <xdr:rowOff>7620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1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56</xdr:row>
          <xdr:rowOff>144780</xdr:rowOff>
        </xdr:from>
        <xdr:to>
          <xdr:col>14</xdr:col>
          <xdr:colOff>297180</xdr:colOff>
          <xdr:row>58</xdr:row>
          <xdr:rowOff>30480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1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57</xdr:row>
          <xdr:rowOff>144780</xdr:rowOff>
        </xdr:from>
        <xdr:to>
          <xdr:col>14</xdr:col>
          <xdr:colOff>297180</xdr:colOff>
          <xdr:row>59</xdr:row>
          <xdr:rowOff>7620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1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59</xdr:row>
          <xdr:rowOff>160020</xdr:rowOff>
        </xdr:from>
        <xdr:to>
          <xdr:col>14</xdr:col>
          <xdr:colOff>297180</xdr:colOff>
          <xdr:row>61</xdr:row>
          <xdr:rowOff>68580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1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58</xdr:row>
          <xdr:rowOff>144780</xdr:rowOff>
        </xdr:from>
        <xdr:to>
          <xdr:col>14</xdr:col>
          <xdr:colOff>297180</xdr:colOff>
          <xdr:row>60</xdr:row>
          <xdr:rowOff>7620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1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61</xdr:row>
          <xdr:rowOff>297180</xdr:rowOff>
        </xdr:from>
        <xdr:to>
          <xdr:col>14</xdr:col>
          <xdr:colOff>312420</xdr:colOff>
          <xdr:row>63</xdr:row>
          <xdr:rowOff>30480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1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62</xdr:row>
          <xdr:rowOff>144780</xdr:rowOff>
        </xdr:from>
        <xdr:to>
          <xdr:col>14</xdr:col>
          <xdr:colOff>312420</xdr:colOff>
          <xdr:row>64</xdr:row>
          <xdr:rowOff>7620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1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63</xdr:row>
          <xdr:rowOff>144780</xdr:rowOff>
        </xdr:from>
        <xdr:to>
          <xdr:col>14</xdr:col>
          <xdr:colOff>312420</xdr:colOff>
          <xdr:row>65</xdr:row>
          <xdr:rowOff>30480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1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64</xdr:row>
          <xdr:rowOff>144780</xdr:rowOff>
        </xdr:from>
        <xdr:to>
          <xdr:col>14</xdr:col>
          <xdr:colOff>312420</xdr:colOff>
          <xdr:row>66</xdr:row>
          <xdr:rowOff>7620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1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66</xdr:row>
          <xdr:rowOff>144780</xdr:rowOff>
        </xdr:from>
        <xdr:to>
          <xdr:col>14</xdr:col>
          <xdr:colOff>312420</xdr:colOff>
          <xdr:row>68</xdr:row>
          <xdr:rowOff>30480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1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65</xdr:row>
          <xdr:rowOff>144780</xdr:rowOff>
        </xdr:from>
        <xdr:to>
          <xdr:col>14</xdr:col>
          <xdr:colOff>312420</xdr:colOff>
          <xdr:row>67</xdr:row>
          <xdr:rowOff>7620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1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67</xdr:row>
          <xdr:rowOff>144780</xdr:rowOff>
        </xdr:from>
        <xdr:to>
          <xdr:col>14</xdr:col>
          <xdr:colOff>312420</xdr:colOff>
          <xdr:row>69</xdr:row>
          <xdr:rowOff>7620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1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68</xdr:row>
          <xdr:rowOff>144780</xdr:rowOff>
        </xdr:from>
        <xdr:to>
          <xdr:col>14</xdr:col>
          <xdr:colOff>312420</xdr:colOff>
          <xdr:row>70</xdr:row>
          <xdr:rowOff>7620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1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69</xdr:row>
          <xdr:rowOff>144780</xdr:rowOff>
        </xdr:from>
        <xdr:to>
          <xdr:col>14</xdr:col>
          <xdr:colOff>312420</xdr:colOff>
          <xdr:row>71</xdr:row>
          <xdr:rowOff>7620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1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70</xdr:row>
          <xdr:rowOff>121920</xdr:rowOff>
        </xdr:from>
        <xdr:to>
          <xdr:col>14</xdr:col>
          <xdr:colOff>312420</xdr:colOff>
          <xdr:row>72</xdr:row>
          <xdr:rowOff>7620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1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72</xdr:row>
          <xdr:rowOff>144780</xdr:rowOff>
        </xdr:from>
        <xdr:to>
          <xdr:col>14</xdr:col>
          <xdr:colOff>312420</xdr:colOff>
          <xdr:row>74</xdr:row>
          <xdr:rowOff>30480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1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71</xdr:row>
          <xdr:rowOff>121920</xdr:rowOff>
        </xdr:from>
        <xdr:to>
          <xdr:col>14</xdr:col>
          <xdr:colOff>312420</xdr:colOff>
          <xdr:row>73</xdr:row>
          <xdr:rowOff>7620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1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73</xdr:row>
          <xdr:rowOff>144780</xdr:rowOff>
        </xdr:from>
        <xdr:to>
          <xdr:col>14</xdr:col>
          <xdr:colOff>312420</xdr:colOff>
          <xdr:row>75</xdr:row>
          <xdr:rowOff>30480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1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74</xdr:row>
          <xdr:rowOff>144780</xdr:rowOff>
        </xdr:from>
        <xdr:to>
          <xdr:col>14</xdr:col>
          <xdr:colOff>312420</xdr:colOff>
          <xdr:row>76</xdr:row>
          <xdr:rowOff>7620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1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75</xdr:row>
          <xdr:rowOff>144780</xdr:rowOff>
        </xdr:from>
        <xdr:to>
          <xdr:col>14</xdr:col>
          <xdr:colOff>312420</xdr:colOff>
          <xdr:row>77</xdr:row>
          <xdr:rowOff>30480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1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76</xdr:row>
          <xdr:rowOff>144780</xdr:rowOff>
        </xdr:from>
        <xdr:to>
          <xdr:col>14</xdr:col>
          <xdr:colOff>312420</xdr:colOff>
          <xdr:row>78</xdr:row>
          <xdr:rowOff>7620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1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79</xdr:row>
          <xdr:rowOff>297180</xdr:rowOff>
        </xdr:from>
        <xdr:to>
          <xdr:col>14</xdr:col>
          <xdr:colOff>297180</xdr:colOff>
          <xdr:row>81</xdr:row>
          <xdr:rowOff>7620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1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80</xdr:row>
          <xdr:rowOff>114300</xdr:rowOff>
        </xdr:from>
        <xdr:to>
          <xdr:col>14</xdr:col>
          <xdr:colOff>297180</xdr:colOff>
          <xdr:row>82</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1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81</xdr:row>
          <xdr:rowOff>121920</xdr:rowOff>
        </xdr:from>
        <xdr:to>
          <xdr:col>14</xdr:col>
          <xdr:colOff>297180</xdr:colOff>
          <xdr:row>83</xdr:row>
          <xdr:rowOff>7620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1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82</xdr:row>
          <xdr:rowOff>114300</xdr:rowOff>
        </xdr:from>
        <xdr:to>
          <xdr:col>14</xdr:col>
          <xdr:colOff>297180</xdr:colOff>
          <xdr:row>84</xdr:row>
          <xdr:rowOff>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1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83</xdr:row>
          <xdr:rowOff>144780</xdr:rowOff>
        </xdr:from>
        <xdr:to>
          <xdr:col>14</xdr:col>
          <xdr:colOff>297180</xdr:colOff>
          <xdr:row>85</xdr:row>
          <xdr:rowOff>30480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1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84</xdr:row>
          <xdr:rowOff>144780</xdr:rowOff>
        </xdr:from>
        <xdr:to>
          <xdr:col>14</xdr:col>
          <xdr:colOff>312420</xdr:colOff>
          <xdr:row>86</xdr:row>
          <xdr:rowOff>30480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1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85</xdr:row>
          <xdr:rowOff>144780</xdr:rowOff>
        </xdr:from>
        <xdr:to>
          <xdr:col>14</xdr:col>
          <xdr:colOff>312420</xdr:colOff>
          <xdr:row>87</xdr:row>
          <xdr:rowOff>7620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1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86</xdr:row>
          <xdr:rowOff>144780</xdr:rowOff>
        </xdr:from>
        <xdr:to>
          <xdr:col>14</xdr:col>
          <xdr:colOff>312420</xdr:colOff>
          <xdr:row>88</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1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89</xdr:row>
          <xdr:rowOff>160020</xdr:rowOff>
        </xdr:from>
        <xdr:to>
          <xdr:col>14</xdr:col>
          <xdr:colOff>297180</xdr:colOff>
          <xdr:row>91</xdr:row>
          <xdr:rowOff>22860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1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90</xdr:row>
          <xdr:rowOff>121920</xdr:rowOff>
        </xdr:from>
        <xdr:to>
          <xdr:col>14</xdr:col>
          <xdr:colOff>297180</xdr:colOff>
          <xdr:row>92</xdr:row>
          <xdr:rowOff>22860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1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94</xdr:row>
          <xdr:rowOff>144780</xdr:rowOff>
        </xdr:from>
        <xdr:to>
          <xdr:col>14</xdr:col>
          <xdr:colOff>304800</xdr:colOff>
          <xdr:row>96</xdr:row>
          <xdr:rowOff>30480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1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93</xdr:row>
          <xdr:rowOff>160020</xdr:rowOff>
        </xdr:from>
        <xdr:to>
          <xdr:col>14</xdr:col>
          <xdr:colOff>304800</xdr:colOff>
          <xdr:row>95</xdr:row>
          <xdr:rowOff>30480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1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95</xdr:row>
          <xdr:rowOff>144780</xdr:rowOff>
        </xdr:from>
        <xdr:to>
          <xdr:col>14</xdr:col>
          <xdr:colOff>312420</xdr:colOff>
          <xdr:row>97</xdr:row>
          <xdr:rowOff>30480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1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96</xdr:row>
          <xdr:rowOff>144780</xdr:rowOff>
        </xdr:from>
        <xdr:to>
          <xdr:col>14</xdr:col>
          <xdr:colOff>312420</xdr:colOff>
          <xdr:row>98</xdr:row>
          <xdr:rowOff>7620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1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97</xdr:row>
          <xdr:rowOff>144780</xdr:rowOff>
        </xdr:from>
        <xdr:to>
          <xdr:col>14</xdr:col>
          <xdr:colOff>312420</xdr:colOff>
          <xdr:row>99</xdr:row>
          <xdr:rowOff>30480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1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98</xdr:row>
          <xdr:rowOff>144780</xdr:rowOff>
        </xdr:from>
        <xdr:to>
          <xdr:col>14</xdr:col>
          <xdr:colOff>312420</xdr:colOff>
          <xdr:row>100</xdr:row>
          <xdr:rowOff>7620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1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100</xdr:row>
          <xdr:rowOff>160020</xdr:rowOff>
        </xdr:from>
        <xdr:to>
          <xdr:col>14</xdr:col>
          <xdr:colOff>312420</xdr:colOff>
          <xdr:row>102</xdr:row>
          <xdr:rowOff>68580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1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99</xdr:row>
          <xdr:rowOff>144780</xdr:rowOff>
        </xdr:from>
        <xdr:to>
          <xdr:col>14</xdr:col>
          <xdr:colOff>312420</xdr:colOff>
          <xdr:row>101</xdr:row>
          <xdr:rowOff>7620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1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101</xdr:row>
          <xdr:rowOff>144780</xdr:rowOff>
        </xdr:from>
        <xdr:to>
          <xdr:col>14</xdr:col>
          <xdr:colOff>312420</xdr:colOff>
          <xdr:row>103</xdr:row>
          <xdr:rowOff>30480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1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102</xdr:row>
          <xdr:rowOff>144780</xdr:rowOff>
        </xdr:from>
        <xdr:to>
          <xdr:col>14</xdr:col>
          <xdr:colOff>312420</xdr:colOff>
          <xdr:row>104</xdr:row>
          <xdr:rowOff>7620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1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103</xdr:row>
          <xdr:rowOff>144780</xdr:rowOff>
        </xdr:from>
        <xdr:to>
          <xdr:col>14</xdr:col>
          <xdr:colOff>312420</xdr:colOff>
          <xdr:row>105</xdr:row>
          <xdr:rowOff>30480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1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104</xdr:row>
          <xdr:rowOff>144780</xdr:rowOff>
        </xdr:from>
        <xdr:to>
          <xdr:col>14</xdr:col>
          <xdr:colOff>312420</xdr:colOff>
          <xdr:row>106</xdr:row>
          <xdr:rowOff>7620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1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20</xdr:row>
          <xdr:rowOff>114300</xdr:rowOff>
        </xdr:from>
        <xdr:to>
          <xdr:col>14</xdr:col>
          <xdr:colOff>312420</xdr:colOff>
          <xdr:row>22</xdr:row>
          <xdr:rowOff>0</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1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19</xdr:row>
          <xdr:rowOff>121920</xdr:rowOff>
        </xdr:from>
        <xdr:to>
          <xdr:col>14</xdr:col>
          <xdr:colOff>312420</xdr:colOff>
          <xdr:row>21</xdr:row>
          <xdr:rowOff>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1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21</xdr:row>
          <xdr:rowOff>114300</xdr:rowOff>
        </xdr:from>
        <xdr:to>
          <xdr:col>14</xdr:col>
          <xdr:colOff>312420</xdr:colOff>
          <xdr:row>23</xdr:row>
          <xdr:rowOff>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1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48</xdr:row>
          <xdr:rowOff>121920</xdr:rowOff>
        </xdr:from>
        <xdr:to>
          <xdr:col>14</xdr:col>
          <xdr:colOff>304800</xdr:colOff>
          <xdr:row>50</xdr:row>
          <xdr:rowOff>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1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83820</xdr:colOff>
          <xdr:row>34</xdr:row>
          <xdr:rowOff>0</xdr:rowOff>
        </xdr:from>
        <xdr:to>
          <xdr:col>14</xdr:col>
          <xdr:colOff>304800</xdr:colOff>
          <xdr:row>35</xdr:row>
          <xdr:rowOff>38100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1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77</xdr:row>
          <xdr:rowOff>144780</xdr:rowOff>
        </xdr:from>
        <xdr:to>
          <xdr:col>14</xdr:col>
          <xdr:colOff>312420</xdr:colOff>
          <xdr:row>79</xdr:row>
          <xdr:rowOff>7620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1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5</xdr:col>
      <xdr:colOff>190501</xdr:colOff>
      <xdr:row>0</xdr:row>
      <xdr:rowOff>85725</xdr:rowOff>
    </xdr:from>
    <xdr:to>
      <xdr:col>5</xdr:col>
      <xdr:colOff>1162051</xdr:colOff>
      <xdr:row>0</xdr:row>
      <xdr:rowOff>939907</xdr:rowOff>
    </xdr:to>
    <xdr:pic>
      <xdr:nvPicPr>
        <xdr:cNvPr id="33" name="Image 32">
          <a:extLst>
            <a:ext uri="{FF2B5EF4-FFF2-40B4-BE49-F238E27FC236}">
              <a16:creationId xmlns:a16="http://schemas.microsoft.com/office/drawing/2014/main" id="{00000000-0008-0000-0200-00002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67226" y="85725"/>
          <a:ext cx="971550" cy="854182"/>
        </a:xfrm>
        <a:prstGeom prst="rect">
          <a:avLst/>
        </a:prstGeom>
      </xdr:spPr>
    </xdr:pic>
    <xdr:clientData/>
  </xdr:twoCellAnchor>
  <xdr:twoCellAnchor editAs="oneCell">
    <xdr:from>
      <xdr:col>3</xdr:col>
      <xdr:colOff>0</xdr:colOff>
      <xdr:row>0</xdr:row>
      <xdr:rowOff>0</xdr:rowOff>
    </xdr:from>
    <xdr:to>
      <xdr:col>4</xdr:col>
      <xdr:colOff>9525</xdr:colOff>
      <xdr:row>0</xdr:row>
      <xdr:rowOff>962025</xdr:rowOff>
    </xdr:to>
    <xdr:pic>
      <xdr:nvPicPr>
        <xdr:cNvPr id="34" name="Image 33">
          <a:extLst>
            <a:ext uri="{FF2B5EF4-FFF2-40B4-BE49-F238E27FC236}">
              <a16:creationId xmlns:a16="http://schemas.microsoft.com/office/drawing/2014/main" id="{00000000-0008-0000-0200-00002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1428750" cy="962025"/>
        </a:xfrm>
        <a:prstGeom prst="rect">
          <a:avLst/>
        </a:prstGeom>
      </xdr:spPr>
    </xdr:pic>
    <xdr:clientData/>
  </xdr:twoCellAnchor>
  <xdr:twoCellAnchor editAs="oneCell">
    <xdr:from>
      <xdr:col>4</xdr:col>
      <xdr:colOff>1195595</xdr:colOff>
      <xdr:row>57</xdr:row>
      <xdr:rowOff>153717</xdr:rowOff>
    </xdr:from>
    <xdr:to>
      <xdr:col>4</xdr:col>
      <xdr:colOff>2796209</xdr:colOff>
      <xdr:row>61</xdr:row>
      <xdr:rowOff>72407</xdr:rowOff>
    </xdr:to>
    <xdr:pic>
      <xdr:nvPicPr>
        <xdr:cNvPr id="35" name="Image 34">
          <a:extLst>
            <a:ext uri="{FF2B5EF4-FFF2-40B4-BE49-F238E27FC236}">
              <a16:creationId xmlns:a16="http://schemas.microsoft.com/office/drawing/2014/main" id="{00000000-0008-0000-0200-00002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14820" y="8707167"/>
          <a:ext cx="1600614" cy="5663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190500</xdr:colOff>
      <xdr:row>1</xdr:row>
      <xdr:rowOff>166688</xdr:rowOff>
    </xdr:from>
    <xdr:to>
      <xdr:col>6</xdr:col>
      <xdr:colOff>942975</xdr:colOff>
      <xdr:row>5</xdr:row>
      <xdr:rowOff>154781</xdr:rowOff>
    </xdr:to>
    <xdr:grpSp>
      <xdr:nvGrpSpPr>
        <xdr:cNvPr id="2" name="Groupe 1">
          <a:extLst>
            <a:ext uri="{FF2B5EF4-FFF2-40B4-BE49-F238E27FC236}">
              <a16:creationId xmlns:a16="http://schemas.microsoft.com/office/drawing/2014/main" id="{00000000-0008-0000-0300-000002000000}"/>
            </a:ext>
          </a:extLst>
        </xdr:cNvPr>
        <xdr:cNvGrpSpPr/>
      </xdr:nvGrpSpPr>
      <xdr:grpSpPr>
        <a:xfrm>
          <a:off x="3480547" y="543206"/>
          <a:ext cx="5584452" cy="776987"/>
          <a:chOff x="835914" y="245591"/>
          <a:chExt cx="4977004" cy="695584"/>
        </a:xfrm>
      </xdr:grpSpPr>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35914" y="257175"/>
            <a:ext cx="1012320" cy="684000"/>
          </a:xfrm>
          <a:prstGeom prst="rect">
            <a:avLst/>
          </a:prstGeom>
        </xdr:spPr>
      </xdr:pic>
      <xdr:pic>
        <xdr:nvPicPr>
          <xdr:cNvPr id="4" name="Imag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00598" y="245591"/>
            <a:ext cx="1012320" cy="684000"/>
          </a:xfrm>
          <a:prstGeom prst="rect">
            <a:avLst/>
          </a:prstGeom>
        </xdr:spPr>
      </xdr:pic>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33625" y="257175"/>
            <a:ext cx="1965461" cy="684000"/>
          </a:xfrm>
          <a:prstGeom prst="rect">
            <a:avLst/>
          </a:prstGeom>
        </xdr:spPr>
      </xdr:pic>
    </xdr:grpSp>
    <xdr:clientData/>
  </xdr:twoCellAnchor>
  <xdr:twoCellAnchor>
    <xdr:from>
      <xdr:col>8</xdr:col>
      <xdr:colOff>4746867</xdr:colOff>
      <xdr:row>10</xdr:row>
      <xdr:rowOff>7549</xdr:rowOff>
    </xdr:from>
    <xdr:to>
      <xdr:col>8</xdr:col>
      <xdr:colOff>4926867</xdr:colOff>
      <xdr:row>10</xdr:row>
      <xdr:rowOff>176881</xdr:rowOff>
    </xdr:to>
    <xdr:sp macro="" textlink="">
      <xdr:nvSpPr>
        <xdr:cNvPr id="6" name="Triangle rectangle 5">
          <a:extLst>
            <a:ext uri="{FF2B5EF4-FFF2-40B4-BE49-F238E27FC236}">
              <a16:creationId xmlns:a16="http://schemas.microsoft.com/office/drawing/2014/main" id="{00000000-0008-0000-0300-000006000000}"/>
            </a:ext>
          </a:extLst>
        </xdr:cNvPr>
        <xdr:cNvSpPr/>
      </xdr:nvSpPr>
      <xdr:spPr>
        <a:xfrm rot="10800000">
          <a:off x="16356161" y="2428020"/>
          <a:ext cx="180000" cy="169332"/>
        </a:xfrm>
        <a:prstGeom prst="rtTriangl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8</xdr:col>
      <xdr:colOff>621926</xdr:colOff>
      <xdr:row>32</xdr:row>
      <xdr:rowOff>492922</xdr:rowOff>
    </xdr:from>
    <xdr:to>
      <xdr:col>8</xdr:col>
      <xdr:colOff>7410449</xdr:colOff>
      <xdr:row>47</xdr:row>
      <xdr:rowOff>97164</xdr:rowOff>
    </xdr:to>
    <xdr:pic>
      <xdr:nvPicPr>
        <xdr:cNvPr id="7" name="Image 6">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206707" y="7743828"/>
          <a:ext cx="6788523" cy="28427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336176</xdr:colOff>
      <xdr:row>51</xdr:row>
      <xdr:rowOff>119062</xdr:rowOff>
    </xdr:from>
    <xdr:to>
      <xdr:col>8</xdr:col>
      <xdr:colOff>7639050</xdr:colOff>
      <xdr:row>65</xdr:row>
      <xdr:rowOff>61911</xdr:rowOff>
    </xdr:to>
    <xdr:pic>
      <xdr:nvPicPr>
        <xdr:cNvPr id="8" name="Image 7">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1920957" y="11418093"/>
          <a:ext cx="7302874" cy="26336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7</xdr:col>
      <xdr:colOff>867833</xdr:colOff>
      <xdr:row>2</xdr:row>
      <xdr:rowOff>75</xdr:rowOff>
    </xdr:from>
    <xdr:to>
      <xdr:col>7</xdr:col>
      <xdr:colOff>1037164</xdr:colOff>
      <xdr:row>2</xdr:row>
      <xdr:rowOff>169333</xdr:rowOff>
    </xdr:to>
    <xdr:sp macro="" textlink="">
      <xdr:nvSpPr>
        <xdr:cNvPr id="3" name="Triangle rectangle 2">
          <a:extLst>
            <a:ext uri="{FF2B5EF4-FFF2-40B4-BE49-F238E27FC236}">
              <a16:creationId xmlns:a16="http://schemas.microsoft.com/office/drawing/2014/main" id="{00000000-0008-0000-0400-000003000000}"/>
            </a:ext>
          </a:extLst>
        </xdr:cNvPr>
        <xdr:cNvSpPr/>
      </xdr:nvSpPr>
      <xdr:spPr>
        <a:xfrm rot="10800000">
          <a:off x="7895166" y="635075"/>
          <a:ext cx="169331" cy="169258"/>
        </a:xfrm>
        <a:prstGeom prst="rtTriangl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file:///\\cleaned"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ueil"/>
      <sheetName val="Analyse"/>
      <sheetName val="paramètres entrée"/>
      <sheetName val="fiche synth EF"/>
      <sheetName val="conso_batiments"/>
      <sheetName val="R23"/>
      <sheetName val="Bonus_CPER"/>
    </sheetNames>
    <sheetDataSet>
      <sheetData sheetId="0"/>
      <sheetData sheetId="1"/>
      <sheetData sheetId="2"/>
      <sheetData sheetId="3">
        <row r="56">
          <cell r="B56">
            <v>0</v>
          </cell>
        </row>
      </sheetData>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omments" Target="../comments1.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B1:B12"/>
  <sheetViews>
    <sheetView zoomScale="70" zoomScaleNormal="70" workbookViewId="0">
      <selection activeCell="K1" sqref="K1"/>
    </sheetView>
  </sheetViews>
  <sheetFormatPr baseColWidth="10" defaultColWidth="11.44140625" defaultRowHeight="13.2" x14ac:dyDescent="0.25"/>
  <cols>
    <col min="1" max="1" width="2.44140625" customWidth="1"/>
    <col min="2" max="2" width="174.5546875" customWidth="1"/>
  </cols>
  <sheetData>
    <row r="1" spans="2:2" ht="92.25" customHeight="1" x14ac:dyDescent="1.05">
      <c r="B1" s="29" t="s">
        <v>137</v>
      </c>
    </row>
    <row r="2" spans="2:2" ht="12.75" customHeight="1" x14ac:dyDescent="0.25">
      <c r="B2" s="1"/>
    </row>
    <row r="3" spans="2:2" ht="29.25" customHeight="1" x14ac:dyDescent="0.5">
      <c r="B3" s="14" t="s">
        <v>138</v>
      </c>
    </row>
    <row r="4" spans="2:2" x14ac:dyDescent="0.25">
      <c r="B4" s="27"/>
    </row>
    <row r="5" spans="2:2" ht="200.1" customHeight="1" x14ac:dyDescent="0.25">
      <c r="B5" s="83" t="s">
        <v>455</v>
      </c>
    </row>
    <row r="6" spans="2:2" x14ac:dyDescent="0.25">
      <c r="B6" s="1"/>
    </row>
    <row r="7" spans="2:2" ht="28.8" x14ac:dyDescent="0.5">
      <c r="B7" s="14" t="s">
        <v>139</v>
      </c>
    </row>
    <row r="8" spans="2:2" ht="10.5" customHeight="1" x14ac:dyDescent="0.25">
      <c r="B8" s="27"/>
    </row>
    <row r="9" spans="2:2" ht="400.2" x14ac:dyDescent="0.25">
      <c r="B9" s="84" t="s">
        <v>447</v>
      </c>
    </row>
    <row r="10" spans="2:2" x14ac:dyDescent="0.25">
      <c r="B10" s="1"/>
    </row>
    <row r="11" spans="2:2" ht="46.8" x14ac:dyDescent="0.45">
      <c r="B11" s="46" t="s">
        <v>169</v>
      </c>
    </row>
    <row r="12" spans="2:2" ht="55.5" customHeight="1" x14ac:dyDescent="0.25">
      <c r="B12" s="30"/>
    </row>
  </sheetData>
  <sheetProtection algorithmName="SHA-512" hashValue="s9hSHdNGXzSitgMY0E0MYRY+9TEI31iULOKFkugnIOS30l1pDeGVx0v/pHwIAM4/Xg1ndqvprMwotdcjMnuAIg==" saltValue="2XuqMok36B+DyT5jyEQMnw==" spinCount="100000" sheet="1" selectLockedCells="1"/>
  <dataValidations disablePrompts="1" count="1">
    <dataValidation type="list" allowBlank="1" showInputMessage="1" showErrorMessage="1" sqref="C6">
      <formula1>"dfgfd,sdfgsfdg"</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pageSetUpPr fitToPage="1"/>
  </sheetPr>
  <dimension ref="B1:Q123"/>
  <sheetViews>
    <sheetView showGridLines="0" tabSelected="1" topLeftCell="A4" zoomScale="80" zoomScaleNormal="80" zoomScaleSheetLayoutView="115" workbookViewId="0">
      <selection activeCell="E6" sqref="E6"/>
    </sheetView>
  </sheetViews>
  <sheetFormatPr baseColWidth="10" defaultColWidth="11.44140625" defaultRowHeight="13.2" x14ac:dyDescent="0.25"/>
  <cols>
    <col min="1" max="1" width="2.44140625" customWidth="1"/>
    <col min="2" max="2" width="5.5546875" style="4" customWidth="1"/>
    <col min="3" max="3" width="2" customWidth="1"/>
    <col min="4" max="4" width="31" customWidth="1"/>
    <col min="5" max="5" width="57.109375" customWidth="1"/>
    <col min="6" max="6" width="37.5546875" style="4" customWidth="1"/>
    <col min="7" max="7" width="15.109375" customWidth="1"/>
    <col min="8" max="8" width="1.88671875" customWidth="1"/>
    <col min="9" max="9" width="11.44140625" customWidth="1"/>
    <col min="10" max="10" width="7.44140625" customWidth="1"/>
    <col min="11" max="11" width="66.5546875" customWidth="1"/>
    <col min="12" max="12" width="1.5546875" customWidth="1"/>
    <col min="13" max="13" width="50.88671875" customWidth="1"/>
    <col min="14" max="14" width="1.5546875" customWidth="1"/>
    <col min="15" max="15" width="15.5546875" customWidth="1"/>
    <col min="16" max="16" width="1.5546875" customWidth="1"/>
  </cols>
  <sheetData>
    <row r="1" spans="2:17" ht="45" customHeight="1" x14ac:dyDescent="1.05">
      <c r="E1" s="505" t="s">
        <v>39</v>
      </c>
      <c r="F1" s="505"/>
      <c r="G1" s="505"/>
      <c r="H1" s="505"/>
      <c r="I1" s="505"/>
      <c r="J1" s="505"/>
      <c r="K1" s="29"/>
      <c r="L1" s="8"/>
      <c r="M1" s="8"/>
      <c r="N1" s="8"/>
      <c r="O1" s="7"/>
    </row>
    <row r="2" spans="2:17" ht="45" customHeight="1" x14ac:dyDescent="1.05">
      <c r="B2" s="54"/>
      <c r="D2" s="10"/>
      <c r="E2" s="505"/>
      <c r="F2" s="505"/>
      <c r="G2" s="505"/>
      <c r="H2" s="505"/>
      <c r="I2" s="505"/>
      <c r="J2" s="505"/>
      <c r="K2" s="29"/>
      <c r="L2" s="8"/>
      <c r="M2" s="8"/>
      <c r="N2" s="8"/>
      <c r="O2" s="7"/>
    </row>
    <row r="3" spans="2:17" ht="45.75" customHeight="1" x14ac:dyDescent="0.25">
      <c r="B3" s="2"/>
      <c r="D3" s="496" t="s">
        <v>236</v>
      </c>
      <c r="E3" s="496"/>
      <c r="F3" s="496"/>
      <c r="G3" s="496"/>
      <c r="J3" s="1"/>
      <c r="K3" s="1"/>
      <c r="O3" s="1"/>
    </row>
    <row r="4" spans="2:17" ht="12.75" customHeight="1" x14ac:dyDescent="0.25">
      <c r="B4" s="2"/>
      <c r="D4" s="1"/>
      <c r="E4" s="1"/>
      <c r="F4" s="2"/>
      <c r="G4" s="1"/>
      <c r="J4" s="1"/>
      <c r="K4" s="1"/>
      <c r="O4" s="1"/>
    </row>
    <row r="5" spans="2:17" ht="13.8" x14ac:dyDescent="0.25">
      <c r="B5" s="109"/>
      <c r="C5" s="109"/>
      <c r="D5" s="16"/>
      <c r="E5" s="15" t="s">
        <v>194</v>
      </c>
      <c r="F5" s="16"/>
      <c r="G5" s="16"/>
      <c r="H5" s="16"/>
      <c r="I5" s="16"/>
      <c r="J5" s="16"/>
      <c r="K5" s="97"/>
      <c r="L5" s="97"/>
      <c r="M5" s="97"/>
      <c r="N5" s="97"/>
      <c r="O5" s="97"/>
    </row>
    <row r="6" spans="2:17" ht="12.75" customHeight="1" x14ac:dyDescent="0.25">
      <c r="B6" s="494" t="s">
        <v>212</v>
      </c>
      <c r="C6" s="494"/>
      <c r="D6" s="494"/>
      <c r="E6" s="23"/>
      <c r="F6" s="12" t="s">
        <v>237</v>
      </c>
      <c r="G6" s="497"/>
      <c r="H6" s="497"/>
      <c r="I6" s="497"/>
      <c r="J6" s="497"/>
      <c r="K6" s="97"/>
      <c r="L6" s="97"/>
      <c r="M6" s="97"/>
      <c r="N6" s="97"/>
      <c r="O6" s="97"/>
    </row>
    <row r="7" spans="2:17" ht="12.75" customHeight="1" x14ac:dyDescent="0.25">
      <c r="B7" s="495" t="s">
        <v>213</v>
      </c>
      <c r="C7" s="495"/>
      <c r="D7" s="495"/>
      <c r="E7" s="45"/>
      <c r="F7" s="36" t="s">
        <v>238</v>
      </c>
      <c r="G7" s="498"/>
      <c r="H7" s="498"/>
      <c r="I7" s="498"/>
      <c r="J7" s="498"/>
      <c r="K7" s="97"/>
      <c r="L7" s="97"/>
      <c r="M7" s="97"/>
      <c r="N7" s="97"/>
      <c r="O7" s="97"/>
    </row>
    <row r="8" spans="2:17" ht="12.75" customHeight="1" x14ac:dyDescent="0.25">
      <c r="B8" s="256" t="s">
        <v>417</v>
      </c>
      <c r="C8" s="256"/>
      <c r="D8" s="256"/>
      <c r="E8" s="45"/>
      <c r="F8" s="36" t="s">
        <v>418</v>
      </c>
      <c r="G8" s="498"/>
      <c r="H8" s="498"/>
      <c r="I8" s="498"/>
      <c r="J8" s="498"/>
      <c r="K8" s="97"/>
      <c r="L8" s="97"/>
      <c r="M8" s="97"/>
      <c r="N8" s="97"/>
      <c r="O8" s="97"/>
    </row>
    <row r="9" spans="2:17" x14ac:dyDescent="0.25">
      <c r="B9" s="494" t="s">
        <v>211</v>
      </c>
      <c r="C9" s="494"/>
      <c r="D9" s="494"/>
      <c r="E9" s="108"/>
      <c r="F9" s="12" t="s">
        <v>239</v>
      </c>
      <c r="G9" s="497"/>
      <c r="H9" s="497"/>
      <c r="I9" s="497"/>
      <c r="J9" s="497"/>
      <c r="K9" s="107"/>
      <c r="L9" s="17"/>
      <c r="M9" s="28"/>
      <c r="N9" s="17"/>
      <c r="O9" s="28"/>
    </row>
    <row r="10" spans="2:17" x14ac:dyDescent="0.25">
      <c r="B10" s="495" t="s">
        <v>198</v>
      </c>
      <c r="C10" s="495"/>
      <c r="D10" s="495"/>
      <c r="E10" s="45"/>
      <c r="F10" s="36" t="s">
        <v>240</v>
      </c>
      <c r="G10" s="498"/>
      <c r="H10" s="498"/>
      <c r="I10" s="498"/>
      <c r="J10" s="498"/>
      <c r="K10" s="107"/>
      <c r="L10" s="17"/>
      <c r="M10" s="28"/>
      <c r="N10" s="17"/>
      <c r="O10" s="28"/>
    </row>
    <row r="11" spans="2:17" s="17" customFormat="1" ht="3" customHeight="1" x14ac:dyDescent="0.25">
      <c r="B11" s="119"/>
      <c r="C11" s="119"/>
      <c r="D11" s="119"/>
      <c r="E11" s="104"/>
      <c r="F11" s="28"/>
      <c r="G11" s="104"/>
      <c r="H11" s="104"/>
      <c r="I11" s="104"/>
      <c r="J11" s="104"/>
      <c r="K11" s="107"/>
      <c r="M11" s="28"/>
      <c r="O11" s="28"/>
    </row>
    <row r="12" spans="2:17" ht="42.75" customHeight="1" x14ac:dyDescent="0.25">
      <c r="B12" s="499" t="s">
        <v>195</v>
      </c>
      <c r="C12" s="499"/>
      <c r="D12" s="499"/>
      <c r="E12" s="497"/>
      <c r="F12" s="497"/>
      <c r="G12" s="497"/>
      <c r="H12" s="497"/>
      <c r="I12" s="497"/>
      <c r="J12" s="497"/>
      <c r="K12" s="107"/>
      <c r="L12" s="17"/>
      <c r="M12" s="57"/>
      <c r="N12" s="17"/>
      <c r="O12" s="57"/>
    </row>
    <row r="13" spans="2:17" ht="12.75" customHeight="1" x14ac:dyDescent="0.25">
      <c r="B13" s="57"/>
      <c r="C13" s="17"/>
      <c r="D13" s="28"/>
      <c r="E13" s="28"/>
      <c r="F13" s="104"/>
      <c r="G13" s="28"/>
      <c r="H13" s="17"/>
      <c r="I13" s="98"/>
      <c r="J13" s="98"/>
      <c r="K13" s="98"/>
      <c r="L13" s="17"/>
      <c r="M13" s="57"/>
      <c r="N13" s="17"/>
      <c r="O13" s="57"/>
    </row>
    <row r="14" spans="2:17" x14ac:dyDescent="0.25">
      <c r="B14" s="2"/>
      <c r="D14" s="1"/>
      <c r="E14" s="1"/>
      <c r="F14" s="24" t="s">
        <v>22</v>
      </c>
      <c r="G14" s="24" t="s">
        <v>64</v>
      </c>
      <c r="H14" s="25"/>
      <c r="I14" s="501" t="s">
        <v>175</v>
      </c>
      <c r="J14" s="501"/>
      <c r="K14" s="501"/>
      <c r="L14" s="26"/>
      <c r="M14" s="48" t="s">
        <v>174</v>
      </c>
      <c r="N14" s="26"/>
      <c r="O14" s="24" t="s">
        <v>24</v>
      </c>
      <c r="Q14" s="53"/>
    </row>
    <row r="15" spans="2:17" ht="13.8" x14ac:dyDescent="0.25">
      <c r="B15" s="15" t="s">
        <v>176</v>
      </c>
      <c r="C15" s="15"/>
      <c r="D15" s="32"/>
      <c r="E15" s="15" t="s">
        <v>1</v>
      </c>
      <c r="F15" s="16"/>
      <c r="G15" s="16"/>
      <c r="H15" s="16"/>
      <c r="I15" s="16"/>
      <c r="J15" s="16"/>
      <c r="K15" s="16"/>
      <c r="L15" s="16"/>
      <c r="M15" s="509" t="s">
        <v>233</v>
      </c>
      <c r="N15" s="509"/>
      <c r="O15" s="509"/>
    </row>
    <row r="16" spans="2:17" x14ac:dyDescent="0.25">
      <c r="B16" s="52">
        <v>1</v>
      </c>
      <c r="C16" s="17"/>
      <c r="D16" s="495" t="s">
        <v>2</v>
      </c>
      <c r="E16" s="495"/>
      <c r="F16" s="45" t="s">
        <v>143</v>
      </c>
      <c r="G16" s="36" t="s">
        <v>3</v>
      </c>
      <c r="H16" s="17"/>
      <c r="I16" s="500" t="str">
        <f>IF(Puiss_totale="Saisir la valeur","",IF(Puiss_totale&gt;2000,"P &gt; 2 MW. Assurez vous de la déclaration en ICPE", IF(Puiss_totale&gt;70,"P &gt; 70 kW.Assurez vous de la conformité à la règlementation de l'arrêté du 23 juin 1978","")))</f>
        <v/>
      </c>
      <c r="J16" s="500"/>
      <c r="K16" s="500"/>
      <c r="L16" s="17"/>
      <c r="M16" s="37"/>
      <c r="N16" s="17"/>
      <c r="O16" s="37"/>
    </row>
    <row r="17" spans="2:16" ht="12.75" customHeight="1" x14ac:dyDescent="0.25">
      <c r="B17" s="13">
        <f>B16+1</f>
        <v>2</v>
      </c>
      <c r="C17" s="17"/>
      <c r="D17" s="494" t="s">
        <v>4</v>
      </c>
      <c r="E17" s="494"/>
      <c r="F17" s="23" t="s">
        <v>143</v>
      </c>
      <c r="G17" s="12" t="s">
        <v>3</v>
      </c>
      <c r="H17" s="17"/>
      <c r="I17" s="502" t="str">
        <f>IF(Puiss_bois="saisir la valeur","",IF(Puiss_bois&gt;Puiss_totale,"La Puisssance bois ne peut pas être supérieure à la puissance totale",""))</f>
        <v/>
      </c>
      <c r="J17" s="502"/>
      <c r="K17" s="502"/>
      <c r="L17" s="17"/>
      <c r="M17" s="23"/>
      <c r="N17" s="17"/>
      <c r="O17" s="23"/>
    </row>
    <row r="18" spans="2:16" x14ac:dyDescent="0.25">
      <c r="B18" s="52">
        <f t="shared" ref="B18:B36" si="0">B17+1</f>
        <v>3</v>
      </c>
      <c r="C18" s="17"/>
      <c r="D18" s="495" t="s">
        <v>122</v>
      </c>
      <c r="E18" s="495"/>
      <c r="F18" s="442" t="s">
        <v>143</v>
      </c>
      <c r="G18" s="36" t="s">
        <v>5</v>
      </c>
      <c r="H18" s="17"/>
      <c r="I18" s="500" t="str">
        <f>IF(Puiss_bois="Saisir la valeur","",IF(F18="Saisir la valeur","",IF(Puiss_totale="Saisir la valeur","",IF(Conso_annuelle="Saisir la valeur","",IF(Puiss_totale=Puiss_bois,"",IF((Conso_annuelle/F18)&lt;('Valeurs de reference'!F21/100),"Taux de couverture bois insuffisant",""))))))</f>
        <v/>
      </c>
      <c r="J18" s="500"/>
      <c r="K18" s="500"/>
      <c r="L18" s="17"/>
      <c r="M18" s="37"/>
      <c r="N18" s="17"/>
      <c r="O18" s="37"/>
    </row>
    <row r="19" spans="2:16" ht="12.75" customHeight="1" x14ac:dyDescent="0.25">
      <c r="B19" s="13">
        <f t="shared" si="0"/>
        <v>4</v>
      </c>
      <c r="C19" s="17"/>
      <c r="D19" s="494" t="s">
        <v>123</v>
      </c>
      <c r="E19" s="494"/>
      <c r="F19" s="441" t="s">
        <v>143</v>
      </c>
      <c r="G19" s="12" t="s">
        <v>5</v>
      </c>
      <c r="H19" s="17"/>
      <c r="I19" s="502" t="str">
        <f>IF(F18="saisir la valeur","",IF(Conso_annuelle="saisir la valeur","",IF(Conso_annuelle&gt;F18,"La consommation de bois ne peut pas être supérieure à la consommation totale","")))</f>
        <v/>
      </c>
      <c r="J19" s="502"/>
      <c r="K19" s="502"/>
      <c r="L19" s="17"/>
      <c r="M19" s="23"/>
      <c r="N19" s="17"/>
      <c r="O19" s="23"/>
    </row>
    <row r="20" spans="2:16" x14ac:dyDescent="0.25">
      <c r="B20" s="52">
        <f t="shared" si="0"/>
        <v>5</v>
      </c>
      <c r="C20" s="17"/>
      <c r="D20" s="495" t="s">
        <v>184</v>
      </c>
      <c r="E20" s="495"/>
      <c r="F20" s="444" t="s">
        <v>143</v>
      </c>
      <c r="G20" s="36" t="s">
        <v>7</v>
      </c>
      <c r="H20" s="17"/>
      <c r="I20" s="500" t="str">
        <f>IF(F20="saisir la valeur","",IF(F20="","",IF(F20&lt;'Valeurs de reference'!F10*100,"Le rendement des réseaux de chaleur parait faible",IF(F20&gt;'Valeurs de reference'!F11*100,"Le rendement du réseau de chaleur parait trop important",""))))</f>
        <v/>
      </c>
      <c r="J20" s="500"/>
      <c r="K20" s="500"/>
      <c r="L20" s="17"/>
      <c r="M20" s="37"/>
      <c r="N20" s="17"/>
      <c r="O20" s="37"/>
    </row>
    <row r="21" spans="2:16" ht="12.75" customHeight="1" x14ac:dyDescent="0.25">
      <c r="B21" s="13">
        <f t="shared" si="0"/>
        <v>6</v>
      </c>
      <c r="C21" s="17"/>
      <c r="D21" s="494" t="s">
        <v>206</v>
      </c>
      <c r="E21" s="494"/>
      <c r="F21" s="441" t="s">
        <v>143</v>
      </c>
      <c r="G21" s="12" t="s">
        <v>7</v>
      </c>
      <c r="H21" s="17"/>
      <c r="I21" s="502"/>
      <c r="J21" s="502"/>
      <c r="K21" s="502"/>
      <c r="L21" s="17"/>
      <c r="M21" s="23"/>
      <c r="N21" s="17"/>
      <c r="O21" s="23"/>
    </row>
    <row r="22" spans="2:16" x14ac:dyDescent="0.25">
      <c r="B22" s="52">
        <f t="shared" si="0"/>
        <v>7</v>
      </c>
      <c r="C22" s="17"/>
      <c r="D22" s="503" t="s">
        <v>235</v>
      </c>
      <c r="E22" s="503"/>
      <c r="F22" s="47" t="str">
        <f>IF(F21="saisir la valeur","",F21-'Valeurs de reference'!F12)</f>
        <v/>
      </c>
      <c r="G22" s="36" t="s">
        <v>7</v>
      </c>
      <c r="H22" s="17"/>
      <c r="I22" s="500"/>
      <c r="J22" s="500"/>
      <c r="K22" s="500"/>
      <c r="L22" s="17"/>
      <c r="M22" s="37"/>
      <c r="N22" s="17"/>
      <c r="O22" s="37"/>
    </row>
    <row r="23" spans="2:16" x14ac:dyDescent="0.25">
      <c r="B23" s="13">
        <f t="shared" si="0"/>
        <v>8</v>
      </c>
      <c r="C23" s="17"/>
      <c r="D23" s="12" t="s">
        <v>444</v>
      </c>
      <c r="E23" s="12"/>
      <c r="F23" s="441" t="s">
        <v>143</v>
      </c>
      <c r="G23" s="12" t="s">
        <v>6</v>
      </c>
      <c r="H23" s="17"/>
      <c r="I23" s="502"/>
      <c r="J23" s="502"/>
      <c r="K23" s="502"/>
      <c r="L23" s="17"/>
      <c r="M23" s="23"/>
      <c r="N23" s="17"/>
      <c r="O23" s="23"/>
    </row>
    <row r="24" spans="2:16" ht="12.75" customHeight="1" x14ac:dyDescent="0.25">
      <c r="B24" s="52">
        <f t="shared" si="0"/>
        <v>9</v>
      </c>
      <c r="C24" s="17"/>
      <c r="D24" s="495" t="s">
        <v>56</v>
      </c>
      <c r="E24" s="495"/>
      <c r="F24" s="45" t="s">
        <v>30</v>
      </c>
      <c r="G24" s="36"/>
      <c r="H24" s="17"/>
      <c r="I24" s="500" t="str">
        <f>IF(Puiss_bois="Saisir la valeur","",IF(F24="Choisir","",IF(Puiss_bois&lt;'Valeurs de reference'!E13,IF(F24='Valeurs de reference'!F13,"","Combustible à priori inadapté"),IF(Puiss_bois&lt;'Valeurs de reference'!E14,IF(F24='Valeurs de reference'!F14,"","Combustible à priori inadapté"),IF(Puiss_bois&lt;'Valeurs de reference'!E15,IF(F24='Valeurs de reference'!F15,"","Combustible à priori inadapté"),IF(Puiss_bois&lt;'Valeurs de reference'!E16,IF(F24='Valeurs de reference'!F16,"","Combustible à priori inadapté"),IF(Puiss_bois&lt;'Valeurs de reference'!E17,IF(F24='Valeurs de reference'!F17,"","Combustible à priori inadapté"),IF(Puiss_bois&gt;'Valeurs de reference'!E18,IF(F24='Valeurs de reference'!F18,"","Combustible à priori inadapté"),0))))))))</f>
        <v/>
      </c>
      <c r="J24" s="500"/>
      <c r="K24" s="500"/>
      <c r="L24" s="17"/>
      <c r="M24" s="37"/>
      <c r="N24" s="17"/>
      <c r="O24" s="37"/>
    </row>
    <row r="25" spans="2:16" ht="12.75" customHeight="1" x14ac:dyDescent="0.25">
      <c r="B25" s="13">
        <f t="shared" si="0"/>
        <v>10</v>
      </c>
      <c r="C25" s="17"/>
      <c r="D25" s="494" t="s">
        <v>124</v>
      </c>
      <c r="E25" s="494"/>
      <c r="F25" s="430" t="s">
        <v>143</v>
      </c>
      <c r="G25" s="12" t="s">
        <v>7</v>
      </c>
      <c r="H25" s="17"/>
      <c r="I25" s="105" t="s">
        <v>57</v>
      </c>
      <c r="J25" s="106" t="str">
        <f>IF(F25="Saisir la Valeur","?",(5330*(100-F25)/100)-6.7861*F25)</f>
        <v>?</v>
      </c>
      <c r="K25" s="105" t="s">
        <v>58</v>
      </c>
      <c r="L25" s="17"/>
      <c r="M25" s="37"/>
      <c r="N25" s="17"/>
      <c r="O25" s="37"/>
      <c r="P25" s="33"/>
    </row>
    <row r="26" spans="2:16" ht="12.75" customHeight="1" x14ac:dyDescent="0.25">
      <c r="B26" s="52">
        <f t="shared" si="0"/>
        <v>11</v>
      </c>
      <c r="C26" s="17"/>
      <c r="D26" s="495" t="s">
        <v>484</v>
      </c>
      <c r="E26" s="495"/>
      <c r="F26" s="95" t="s">
        <v>143</v>
      </c>
      <c r="G26" s="36"/>
      <c r="H26" s="17"/>
      <c r="I26" s="500" t="str">
        <f>IF(F26="Saisir la valeur","",IF(F26&lt;'Valeurs de reference'!F20,"La densité thermique du projet est trop faible",""))</f>
        <v/>
      </c>
      <c r="J26" s="500"/>
      <c r="K26" s="500"/>
      <c r="L26" s="17"/>
      <c r="M26" s="23"/>
      <c r="N26" s="17"/>
      <c r="O26" s="23"/>
    </row>
    <row r="27" spans="2:16" x14ac:dyDescent="0.25">
      <c r="B27" s="13">
        <f t="shared" si="0"/>
        <v>12</v>
      </c>
      <c r="C27" s="17"/>
      <c r="D27" s="12"/>
      <c r="E27" s="39" t="s">
        <v>117</v>
      </c>
      <c r="F27" s="438" t="str">
        <f>IF(F18="Saisir la valeur","",IF(F22="","",IF(longueur_reseau="Saisir la valeur","",F18*F22/longueur_reseau/100)))</f>
        <v/>
      </c>
      <c r="G27" s="12" t="s">
        <v>55</v>
      </c>
      <c r="H27" s="17"/>
      <c r="I27" s="502" t="str">
        <f>IF(F27="","",IF(F26="saisir la valeur","",IF(F26="","",IF((F26-F27)&gt;F27*0.2,"La différence entre la densité saisie et calculée est supérieure à 20% =&gt; Vérifier l'exactitude des données",IF(F27-F26&gt;F27*0.1,"La différence entre la densité saisie et calculée est supérieure à 20% =&gt; Vérifier l'exactitude des données","")))))</f>
        <v/>
      </c>
      <c r="J27" s="502"/>
      <c r="K27" s="502"/>
      <c r="L27" s="17"/>
      <c r="M27" s="37"/>
      <c r="N27" s="17"/>
      <c r="O27" s="37"/>
    </row>
    <row r="28" spans="2:16" ht="12.75" customHeight="1" x14ac:dyDescent="0.25">
      <c r="B28" s="52">
        <f t="shared" si="0"/>
        <v>13</v>
      </c>
      <c r="C28" s="17"/>
      <c r="D28" s="36" t="s">
        <v>59</v>
      </c>
      <c r="E28" s="36"/>
      <c r="F28" s="45" t="s">
        <v>143</v>
      </c>
      <c r="G28" s="36" t="s">
        <v>60</v>
      </c>
      <c r="H28" s="17"/>
      <c r="I28" s="500" t="str">
        <f>IF(F29="","",IF(F28="saisir la valeur","",IF((F28-F29)&gt;F29*0.1,"La différence entre tonnage calculé et tonnage prévu est supérieur à 10% =&gt; A vérifier",IF(F29-F28&gt;F29*0.1,"La différence entre tonnage calculé et tonnage prévu est supérieur à 10% =&gt; A vérifier",""))))</f>
        <v/>
      </c>
      <c r="J28" s="500"/>
      <c r="K28" s="500"/>
      <c r="L28" s="17"/>
      <c r="M28" s="23"/>
      <c r="N28" s="17"/>
      <c r="O28" s="23"/>
    </row>
    <row r="29" spans="2:16" x14ac:dyDescent="0.25">
      <c r="B29" s="13">
        <f t="shared" si="0"/>
        <v>14</v>
      </c>
      <c r="C29" s="17"/>
      <c r="D29" s="12"/>
      <c r="E29" s="39" t="s">
        <v>61</v>
      </c>
      <c r="F29" s="110" t="str">
        <f>IF(J25="?","",IF(Conso_annuelle="Saisir la valeur","",Conso_annuelle/J25*1000))</f>
        <v/>
      </c>
      <c r="G29" s="12" t="s">
        <v>60</v>
      </c>
      <c r="H29" s="17"/>
      <c r="I29" s="502"/>
      <c r="J29" s="502"/>
      <c r="K29" s="502"/>
      <c r="L29" s="17"/>
      <c r="M29" s="37"/>
      <c r="N29" s="17"/>
      <c r="O29" s="37"/>
    </row>
    <row r="30" spans="2:16" x14ac:dyDescent="0.25">
      <c r="B30" s="52">
        <f t="shared" si="0"/>
        <v>15</v>
      </c>
      <c r="C30" s="17"/>
      <c r="D30" s="503" t="s">
        <v>443</v>
      </c>
      <c r="E30" s="503"/>
      <c r="F30" s="51" t="str">
        <f>IF(Puiss_totale="Saisir la valeur","",IF(Puiss_bois="saisir la valeur","",Puiss_bois/Puiss_totale))</f>
        <v/>
      </c>
      <c r="G30" s="36"/>
      <c r="H30" s="17"/>
      <c r="I30" s="500" t="str">
        <f>IF(F30="","",IF(('Valeurs de reference'!F21-F30)&gt;F30*0.1,"La différence entre la répartition calculée et la valeur de référence est supérieure à 10% =&gt; A vérifier",IF(F30-'Valeurs de reference'!F21&gt;F30*0.1,"La différence entre la répartition calculée et la valeur de référenc est supérieure à 10% =&gt; A vérifier","")))</f>
        <v/>
      </c>
      <c r="J30" s="500"/>
      <c r="K30" s="500"/>
      <c r="L30" s="17"/>
      <c r="M30" s="23"/>
      <c r="N30" s="17"/>
      <c r="O30" s="23"/>
    </row>
    <row r="31" spans="2:16" ht="12.75" customHeight="1" x14ac:dyDescent="0.25">
      <c r="B31" s="13">
        <f t="shared" si="0"/>
        <v>16</v>
      </c>
      <c r="C31" s="17"/>
      <c r="D31" s="494" t="s">
        <v>135</v>
      </c>
      <c r="E31" s="494"/>
      <c r="F31" s="93" t="str">
        <f>IF(Puiss_bois="Saisir la valeur","",IF(Conso_annuelle="saisir la valeur","",Conso_annuelle/Puiss_bois*1000))</f>
        <v/>
      </c>
      <c r="G31" s="12" t="s">
        <v>136</v>
      </c>
      <c r="H31" s="17"/>
      <c r="I31" s="502" t="str">
        <f>IF(F31="","",IF(F31&lt;'Valeurs de reference'!F22,"Le dimensionnement ne semble pas correct. La chaudière parait surdimensionnée.",IF(F31&lt;'Valeurs de reference'!F23,"Le dimensionnement est acceptable",IF(F31&gt;'Valeurs de reference'!F23,"",""))))</f>
        <v/>
      </c>
      <c r="J31" s="502"/>
      <c r="K31" s="502"/>
      <c r="L31" s="17"/>
      <c r="M31" s="37"/>
      <c r="N31" s="17"/>
      <c r="O31" s="37"/>
    </row>
    <row r="32" spans="2:16" ht="12.75" customHeight="1" x14ac:dyDescent="0.25">
      <c r="B32" s="52">
        <f>B31+1</f>
        <v>17</v>
      </c>
      <c r="C32" s="17"/>
      <c r="D32" s="495" t="s">
        <v>113</v>
      </c>
      <c r="E32" s="495"/>
      <c r="F32" s="45" t="s">
        <v>30</v>
      </c>
      <c r="G32" s="36"/>
      <c r="H32" s="17"/>
      <c r="I32" s="500" t="str">
        <f>IF(F32="non","Justifier votre choix","")</f>
        <v/>
      </c>
      <c r="J32" s="500"/>
      <c r="K32" s="500"/>
      <c r="L32" s="17"/>
      <c r="M32" s="23"/>
      <c r="N32" s="17"/>
      <c r="O32" s="23"/>
    </row>
    <row r="33" spans="2:15" x14ac:dyDescent="0.25">
      <c r="B33" s="13">
        <f>B32+1</f>
        <v>18</v>
      </c>
      <c r="C33" s="17"/>
      <c r="D33" s="506" t="s">
        <v>445</v>
      </c>
      <c r="E33" s="506"/>
      <c r="F33" s="110" t="str">
        <f>IF(Puiss_bois="saisir la valeur","",IF('Fiche de vérification'!F32="oui",'Valeurs de reference'!F24*Puiss_bois,""))</f>
        <v/>
      </c>
      <c r="G33" s="12" t="s">
        <v>210</v>
      </c>
      <c r="H33" s="17"/>
      <c r="I33" s="502"/>
      <c r="J33" s="502"/>
      <c r="K33" s="502"/>
      <c r="L33" s="17"/>
      <c r="M33" s="37"/>
      <c r="N33" s="17"/>
      <c r="O33" s="37"/>
    </row>
    <row r="34" spans="2:15" x14ac:dyDescent="0.25">
      <c r="B34" s="52">
        <f>B33+1</f>
        <v>19</v>
      </c>
      <c r="C34" s="17"/>
      <c r="D34" s="495" t="s">
        <v>179</v>
      </c>
      <c r="E34" s="495"/>
      <c r="F34" s="45" t="s">
        <v>30</v>
      </c>
      <c r="G34" s="36"/>
      <c r="H34" s="17"/>
      <c r="I34" s="500" t="str">
        <f>IF(F34="choisir","",IF(F34="oui",IF(F32="oui","","La présence d'un ballon tampon est très fortement conseillé"),""))</f>
        <v/>
      </c>
      <c r="J34" s="500"/>
      <c r="K34" s="500"/>
      <c r="L34" s="17"/>
      <c r="M34" s="23"/>
      <c r="N34" s="17"/>
      <c r="O34" s="23"/>
    </row>
    <row r="35" spans="2:15" ht="12.75" customHeight="1" x14ac:dyDescent="0.25">
      <c r="B35" s="13">
        <f>B34+1</f>
        <v>20</v>
      </c>
      <c r="C35" s="17"/>
      <c r="D35" s="494" t="s">
        <v>81</v>
      </c>
      <c r="E35" s="494"/>
      <c r="F35" s="23" t="s">
        <v>30</v>
      </c>
      <c r="G35" s="12"/>
      <c r="H35" s="17"/>
      <c r="I35" s="502"/>
      <c r="J35" s="502"/>
      <c r="K35" s="502"/>
      <c r="L35" s="17"/>
      <c r="M35" s="37"/>
      <c r="N35" s="17"/>
      <c r="O35" s="37"/>
    </row>
    <row r="36" spans="2:15" x14ac:dyDescent="0.25">
      <c r="B36" s="52">
        <f t="shared" si="0"/>
        <v>21</v>
      </c>
      <c r="C36" s="17"/>
      <c r="D36" s="495" t="s">
        <v>66</v>
      </c>
      <c r="E36" s="495"/>
      <c r="F36" s="45" t="s">
        <v>30</v>
      </c>
      <c r="G36" s="36"/>
      <c r="H36" s="17"/>
      <c r="I36" s="500" t="str">
        <f>IF(F36="non","Justifier votre choix de ne pas faire de courbe d'appel de puissance","")</f>
        <v/>
      </c>
      <c r="J36" s="500"/>
      <c r="K36" s="500"/>
      <c r="L36" s="17"/>
      <c r="M36" s="23"/>
      <c r="N36" s="17"/>
      <c r="O36" s="23"/>
    </row>
    <row r="37" spans="2:15" x14ac:dyDescent="0.25">
      <c r="B37" s="2"/>
      <c r="C37" s="17"/>
      <c r="D37" s="1"/>
      <c r="E37" s="1"/>
      <c r="F37" s="2"/>
      <c r="G37" s="1"/>
      <c r="H37" s="17"/>
      <c r="I37" s="17"/>
      <c r="J37" s="1"/>
      <c r="K37" s="1"/>
      <c r="L37" s="17"/>
      <c r="M37" s="1"/>
      <c r="N37" s="17"/>
      <c r="O37" s="1"/>
    </row>
    <row r="38" spans="2:15" ht="13.8" x14ac:dyDescent="0.25">
      <c r="B38" s="55"/>
      <c r="C38" s="15"/>
      <c r="D38" s="32"/>
      <c r="E38" s="15" t="s">
        <v>73</v>
      </c>
      <c r="F38" s="16"/>
      <c r="G38" s="16"/>
      <c r="H38" s="16"/>
      <c r="I38" s="16"/>
      <c r="J38" s="16"/>
      <c r="K38" s="16"/>
      <c r="L38" s="16"/>
      <c r="M38" s="16"/>
      <c r="N38" s="16"/>
      <c r="O38" s="16"/>
    </row>
    <row r="39" spans="2:15" x14ac:dyDescent="0.25">
      <c r="B39" s="52">
        <f>B36+1</f>
        <v>22</v>
      </c>
      <c r="C39" s="17"/>
      <c r="D39" s="495" t="s">
        <v>47</v>
      </c>
      <c r="E39" s="495"/>
      <c r="F39" s="37" t="s">
        <v>30</v>
      </c>
      <c r="G39" s="36"/>
      <c r="H39" s="17"/>
      <c r="I39" s="500" t="str">
        <f>IF(F39='Valeurs de reference'!S9,"Obligation de traiter l'étanchéïté de l'extérieur de la chaufferie",IF('Fiche de vérification'!F39='Valeurs de reference'!S10,"Obligation de traiter l'étanchéïté  de l'extérieur de la chaufferie",""))</f>
        <v/>
      </c>
      <c r="J39" s="500"/>
      <c r="K39" s="500"/>
      <c r="L39" s="17"/>
      <c r="M39" s="23"/>
      <c r="N39" s="17"/>
      <c r="O39" s="23"/>
    </row>
    <row r="40" spans="2:15" ht="12.75" customHeight="1" x14ac:dyDescent="0.25">
      <c r="B40" s="13">
        <f>B39+1</f>
        <v>23</v>
      </c>
      <c r="D40" s="494" t="s">
        <v>49</v>
      </c>
      <c r="E40" s="494"/>
      <c r="F40" s="23" t="s">
        <v>30</v>
      </c>
      <c r="G40" s="12"/>
      <c r="H40" s="17"/>
      <c r="I40" s="502" t="str">
        <f>IF(F40='Valeurs de reference'!U9,"Obligation de traiter l'étanchéïté de l'intérieur et de l'extérieur du silo",IF('Fiche de vérification'!F40='Valeurs de reference'!U10,"Obligation de traiter l'étanchéïté de l'intérieur et de l'extérieur du silo",""))</f>
        <v/>
      </c>
      <c r="J40" s="502"/>
      <c r="K40" s="502"/>
      <c r="L40" s="17"/>
      <c r="M40" s="37"/>
      <c r="N40" s="17"/>
      <c r="O40" s="37"/>
    </row>
    <row r="41" spans="2:15" x14ac:dyDescent="0.25">
      <c r="B41" s="52">
        <f t="shared" ref="B41:B51" si="1">B40+1</f>
        <v>24</v>
      </c>
      <c r="D41" s="495" t="s">
        <v>86</v>
      </c>
      <c r="E41" s="495"/>
      <c r="F41" s="37" t="s">
        <v>30</v>
      </c>
      <c r="G41" s="36"/>
      <c r="H41" s="17"/>
      <c r="I41" s="500" t="str">
        <f>IF(F41="oui","",IF(F41="non","Nécessité de se mettre en conformité avec le DTU 24.1 dès le 1er kW installé",""))</f>
        <v/>
      </c>
      <c r="J41" s="500"/>
      <c r="K41" s="500"/>
      <c r="L41" s="17"/>
      <c r="M41" s="23"/>
      <c r="N41" s="17"/>
      <c r="O41" s="23"/>
    </row>
    <row r="42" spans="2:15" ht="12.75" customHeight="1" x14ac:dyDescent="0.25">
      <c r="B42" s="13">
        <f t="shared" si="1"/>
        <v>25</v>
      </c>
      <c r="D42" s="494" t="s">
        <v>87</v>
      </c>
      <c r="E42" s="494"/>
      <c r="F42" s="23" t="s">
        <v>30</v>
      </c>
      <c r="G42" s="12"/>
      <c r="H42" s="17"/>
      <c r="I42" s="502" t="str">
        <f>IF(F42="non","Proposer une nouvelle solution d'intégration","")</f>
        <v/>
      </c>
      <c r="J42" s="502"/>
      <c r="K42" s="502"/>
      <c r="L42" s="17"/>
      <c r="M42" s="37"/>
      <c r="N42" s="17"/>
      <c r="O42" s="37"/>
    </row>
    <row r="43" spans="2:15" x14ac:dyDescent="0.25">
      <c r="B43" s="52">
        <f t="shared" si="1"/>
        <v>26</v>
      </c>
      <c r="D43" s="495" t="s">
        <v>15</v>
      </c>
      <c r="E43" s="495"/>
      <c r="F43" s="37" t="s">
        <v>30</v>
      </c>
      <c r="G43" s="36"/>
      <c r="H43" s="17"/>
      <c r="I43" s="500" t="str">
        <f>IF(F43="Bac à roulettes","Vérifier la libre circulation (marches/obstacles) et pente maxi de 10 %, sinon, prévoir un monte charge","")</f>
        <v/>
      </c>
      <c r="J43" s="500"/>
      <c r="K43" s="500"/>
      <c r="L43" s="17"/>
      <c r="M43" s="23"/>
      <c r="N43" s="17"/>
      <c r="O43" s="23"/>
    </row>
    <row r="44" spans="2:15" ht="12.75" customHeight="1" x14ac:dyDescent="0.25">
      <c r="B44" s="13">
        <f t="shared" si="1"/>
        <v>27</v>
      </c>
      <c r="D44" s="494" t="s">
        <v>92</v>
      </c>
      <c r="E44" s="494"/>
      <c r="F44" s="23" t="s">
        <v>143</v>
      </c>
      <c r="G44" s="12" t="s">
        <v>93</v>
      </c>
      <c r="H44" s="17"/>
      <c r="I44" s="502" t="str">
        <f>IF(F44="saisir la valeur","",IF(F45="","",IF(F44&lt;'Valeurs de reference'!F34,"La chaufferie est trop petite",IF((F44-F45)&gt;F45*0.15,"La différence entre la surface théorique et calculée est supérieure à 15% =&gt; A vérifier",IF(F45-F44&gt;F45*0.15,"La différence entre la surface théorique et calculée est supérieure à 15% =&gt; A vérifier","")))))</f>
        <v/>
      </c>
      <c r="J44" s="502"/>
      <c r="K44" s="502"/>
      <c r="L44" s="17"/>
      <c r="M44" s="37"/>
      <c r="N44" s="17"/>
      <c r="O44" s="37"/>
    </row>
    <row r="45" spans="2:15" x14ac:dyDescent="0.25">
      <c r="B45" s="52">
        <f t="shared" si="1"/>
        <v>28</v>
      </c>
      <c r="D45" s="36"/>
      <c r="E45" s="38" t="s">
        <v>142</v>
      </c>
      <c r="F45" s="44" t="str">
        <f>IF(Puiss_totale="Saisir la valeur","",0.025*Puiss_totale+34)</f>
        <v/>
      </c>
      <c r="G45" s="36" t="s">
        <v>93</v>
      </c>
      <c r="H45" s="17"/>
      <c r="I45" s="500"/>
      <c r="J45" s="500"/>
      <c r="K45" s="500"/>
      <c r="L45" s="17"/>
      <c r="M45" s="23"/>
      <c r="N45" s="17"/>
      <c r="O45" s="23"/>
    </row>
    <row r="46" spans="2:15" ht="12.75" customHeight="1" x14ac:dyDescent="0.25">
      <c r="B46" s="13">
        <f t="shared" si="1"/>
        <v>29</v>
      </c>
      <c r="D46" s="494" t="s">
        <v>95</v>
      </c>
      <c r="E46" s="494"/>
      <c r="F46" s="23" t="s">
        <v>30</v>
      </c>
      <c r="G46" s="12"/>
      <c r="H46" s="17"/>
      <c r="I46" s="502" t="str">
        <f>IF(F46="non","Vérifier la règlementation en vigueur","")</f>
        <v/>
      </c>
      <c r="J46" s="502"/>
      <c r="K46" s="502"/>
      <c r="L46" s="17"/>
      <c r="M46" s="37"/>
      <c r="N46" s="17"/>
      <c r="O46" s="37"/>
    </row>
    <row r="47" spans="2:15" x14ac:dyDescent="0.25">
      <c r="B47" s="52">
        <f t="shared" si="1"/>
        <v>30</v>
      </c>
      <c r="D47" s="495" t="s">
        <v>94</v>
      </c>
      <c r="E47" s="495"/>
      <c r="F47" s="37" t="s">
        <v>30</v>
      </c>
      <c r="G47" s="36"/>
      <c r="H47" s="17"/>
      <c r="I47" s="500"/>
      <c r="J47" s="500"/>
      <c r="K47" s="500"/>
      <c r="L47" s="17"/>
      <c r="M47" s="23"/>
      <c r="N47" s="17"/>
      <c r="O47" s="23"/>
    </row>
    <row r="48" spans="2:15" ht="12.75" customHeight="1" x14ac:dyDescent="0.25">
      <c r="B48" s="13">
        <f t="shared" si="1"/>
        <v>31</v>
      </c>
      <c r="D48" s="494" t="s">
        <v>112</v>
      </c>
      <c r="E48" s="494"/>
      <c r="F48" s="23" t="s">
        <v>30</v>
      </c>
      <c r="G48" s="12"/>
      <c r="H48" s="17"/>
      <c r="I48" s="502" t="str">
        <f>IF(F48='Valeurs de reference'!AE9,"La régulation pourrait être pilotée sur les besoins",IF(F48='Valeurs de reference'!AE10,"",IF(F48='Valeurs de reference'!AE11,"Un système de régulation est indispensable au bon fonctionnement d'une chaudière bois","")))</f>
        <v/>
      </c>
      <c r="J48" s="502"/>
      <c r="K48" s="502"/>
      <c r="L48" s="17"/>
      <c r="M48" s="37"/>
      <c r="N48" s="17"/>
      <c r="O48" s="37"/>
    </row>
    <row r="49" spans="2:15" x14ac:dyDescent="0.25">
      <c r="B49" s="52">
        <f t="shared" si="1"/>
        <v>32</v>
      </c>
      <c r="D49" s="495" t="s">
        <v>216</v>
      </c>
      <c r="E49" s="495"/>
      <c r="F49" s="37" t="s">
        <v>30</v>
      </c>
      <c r="G49" s="36"/>
      <c r="H49" s="17"/>
      <c r="I49" s="500" t="str">
        <f>IF(F49="non","Un compteur de chaleur doit être mis en place","")</f>
        <v/>
      </c>
      <c r="J49" s="500"/>
      <c r="K49" s="500"/>
      <c r="L49" s="17"/>
      <c r="M49" s="23"/>
      <c r="N49" s="17"/>
      <c r="O49" s="23"/>
    </row>
    <row r="50" spans="2:15" x14ac:dyDescent="0.25">
      <c r="B50" s="13">
        <f t="shared" si="1"/>
        <v>33</v>
      </c>
      <c r="D50" s="494" t="s">
        <v>69</v>
      </c>
      <c r="E50" s="494"/>
      <c r="F50" s="23" t="s">
        <v>30</v>
      </c>
      <c r="G50" s="12"/>
      <c r="H50" s="17"/>
      <c r="I50" s="502" t="str">
        <f>IF(F50="Sans objet","",IF(F50="Choisir","",IF(Puiss_totale&gt;70,IF(F50="non","La chaufferie n'est pas règlementaire",""),"La puissance de la chaufferie m'impose pas de règlementation.")))</f>
        <v/>
      </c>
      <c r="J50" s="502"/>
      <c r="K50" s="502"/>
      <c r="L50" s="17"/>
      <c r="M50" s="37"/>
      <c r="N50" s="17"/>
      <c r="O50" s="37"/>
    </row>
    <row r="51" spans="2:15" ht="12.75" customHeight="1" x14ac:dyDescent="0.25">
      <c r="B51" s="52">
        <f t="shared" si="1"/>
        <v>34</v>
      </c>
      <c r="D51" s="495" t="s">
        <v>219</v>
      </c>
      <c r="E51" s="495"/>
      <c r="F51" s="37" t="s">
        <v>30</v>
      </c>
      <c r="G51" s="36"/>
      <c r="H51" s="17"/>
      <c r="I51" s="500" t="str">
        <f>IF(F51="Sans Objet","",IF(F51="Choisir","",IF(F51="oui","Vérifier qu'il n'y ait pas de parties horizontales trop importantes (DTU 24.1)","La conception est à revoir (DTU 24.1)")))</f>
        <v/>
      </c>
      <c r="J51" s="500"/>
      <c r="K51" s="500"/>
      <c r="L51" s="17"/>
      <c r="M51" s="23"/>
      <c r="N51" s="17"/>
      <c r="O51" s="23"/>
    </row>
    <row r="52" spans="2:15" x14ac:dyDescent="0.25">
      <c r="B52" s="2"/>
      <c r="D52" s="1"/>
      <c r="E52" s="1"/>
      <c r="F52" s="2"/>
      <c r="G52" s="1"/>
      <c r="H52" s="17"/>
      <c r="I52" s="17"/>
      <c r="J52" s="1"/>
      <c r="K52" s="1"/>
      <c r="L52" s="17"/>
      <c r="M52" s="1"/>
      <c r="N52" s="17"/>
      <c r="O52" s="1"/>
    </row>
    <row r="53" spans="2:15" ht="13.8" x14ac:dyDescent="0.25">
      <c r="B53" s="55"/>
      <c r="C53" s="15"/>
      <c r="D53" s="32"/>
      <c r="E53" s="15" t="s">
        <v>71</v>
      </c>
      <c r="F53" s="16"/>
      <c r="G53" s="16"/>
      <c r="H53" s="16"/>
      <c r="I53" s="16"/>
      <c r="J53" s="16"/>
      <c r="K53" s="16"/>
      <c r="L53" s="16"/>
      <c r="M53" s="16"/>
      <c r="N53" s="16"/>
      <c r="O53" s="16"/>
    </row>
    <row r="54" spans="2:15" ht="25.5" customHeight="1" x14ac:dyDescent="0.25">
      <c r="B54" s="56"/>
      <c r="C54" s="17"/>
      <c r="D54" s="34" t="s">
        <v>50</v>
      </c>
      <c r="E54" s="12"/>
      <c r="F54" s="12"/>
      <c r="G54" s="12"/>
      <c r="H54" s="17"/>
      <c r="I54" s="494"/>
      <c r="J54" s="494"/>
      <c r="K54" s="494"/>
      <c r="L54" s="17"/>
      <c r="M54" s="37"/>
      <c r="N54" s="17"/>
      <c r="O54" s="37"/>
    </row>
    <row r="55" spans="2:15" ht="12.75" customHeight="1" x14ac:dyDescent="0.25">
      <c r="B55" s="13">
        <f>B51+1</f>
        <v>35</v>
      </c>
      <c r="C55" s="17"/>
      <c r="D55" s="494" t="s">
        <v>185</v>
      </c>
      <c r="E55" s="494"/>
      <c r="F55" s="23" t="s">
        <v>143</v>
      </c>
      <c r="G55" s="12"/>
      <c r="H55" s="17"/>
      <c r="I55" s="502"/>
      <c r="J55" s="502"/>
      <c r="K55" s="502"/>
      <c r="L55" s="17"/>
      <c r="M55" s="23"/>
      <c r="N55" s="17"/>
      <c r="O55" s="23"/>
    </row>
    <row r="56" spans="2:15" x14ac:dyDescent="0.25">
      <c r="B56" s="52">
        <f t="shared" ref="B56:B61" si="2">B55+1</f>
        <v>36</v>
      </c>
      <c r="C56" s="17"/>
      <c r="D56" s="495" t="s">
        <v>9</v>
      </c>
      <c r="E56" s="495"/>
      <c r="F56" s="95" t="s">
        <v>143</v>
      </c>
      <c r="G56" s="36" t="s">
        <v>10</v>
      </c>
      <c r="H56" s="17"/>
      <c r="I56" s="500" t="str">
        <f>IF(F56&lt;'Valeurs de reference'!F37,"Largeur de trappe insuffisante","")</f>
        <v/>
      </c>
      <c r="J56" s="500"/>
      <c r="K56" s="500"/>
      <c r="L56" s="17"/>
      <c r="M56" s="37"/>
      <c r="N56" s="17"/>
      <c r="O56" s="37"/>
    </row>
    <row r="57" spans="2:15" ht="12.75" customHeight="1" x14ac:dyDescent="0.25">
      <c r="B57" s="13">
        <f t="shared" si="2"/>
        <v>37</v>
      </c>
      <c r="C57" s="17"/>
      <c r="D57" s="494" t="s">
        <v>65</v>
      </c>
      <c r="E57" s="494"/>
      <c r="F57" s="96" t="s">
        <v>143</v>
      </c>
      <c r="G57" s="12" t="s">
        <v>10</v>
      </c>
      <c r="H57" s="17"/>
      <c r="I57" s="502" t="str">
        <f>IF(F57&lt;'Valeurs de reference'!F38,"Longueur de trappe insuffisante","")</f>
        <v/>
      </c>
      <c r="J57" s="502"/>
      <c r="K57" s="502"/>
      <c r="L57" s="17"/>
      <c r="M57" s="23"/>
      <c r="N57" s="17"/>
      <c r="O57" s="23"/>
    </row>
    <row r="58" spans="2:15" x14ac:dyDescent="0.25">
      <c r="B58" s="52">
        <f t="shared" si="2"/>
        <v>38</v>
      </c>
      <c r="C58" s="17"/>
      <c r="D58" s="36" t="s">
        <v>183</v>
      </c>
      <c r="E58" s="36"/>
      <c r="F58" s="37" t="s">
        <v>30</v>
      </c>
      <c r="G58" s="36"/>
      <c r="H58" s="17"/>
      <c r="I58" s="500" t="str">
        <f>IF(F58="non","Revoir la conception de la trappe","")</f>
        <v/>
      </c>
      <c r="J58" s="500"/>
      <c r="K58" s="500"/>
      <c r="L58" s="17"/>
      <c r="M58" s="37"/>
      <c r="N58" s="17"/>
      <c r="O58" s="37"/>
    </row>
    <row r="59" spans="2:15" ht="12.75" customHeight="1" x14ac:dyDescent="0.25">
      <c r="B59" s="13">
        <f t="shared" si="2"/>
        <v>39</v>
      </c>
      <c r="C59" s="17"/>
      <c r="D59" s="12" t="s">
        <v>217</v>
      </c>
      <c r="E59" s="12"/>
      <c r="F59" s="23" t="s">
        <v>30</v>
      </c>
      <c r="G59" s="12"/>
      <c r="H59" s="17"/>
      <c r="I59" s="502" t="str">
        <f>IF(F59="non","Revoir la conception de la trappe","")</f>
        <v/>
      </c>
      <c r="J59" s="502"/>
      <c r="K59" s="502"/>
      <c r="L59" s="17"/>
      <c r="M59" s="23"/>
      <c r="N59" s="17"/>
      <c r="O59" s="23"/>
    </row>
    <row r="60" spans="2:15" x14ac:dyDescent="0.25">
      <c r="B60" s="52">
        <f t="shared" si="2"/>
        <v>40</v>
      </c>
      <c r="C60" s="17"/>
      <c r="D60" s="495" t="s">
        <v>218</v>
      </c>
      <c r="E60" s="495"/>
      <c r="F60" s="37" t="s">
        <v>143</v>
      </c>
      <c r="G60" s="36" t="s">
        <v>11</v>
      </c>
      <c r="H60" s="17"/>
      <c r="I60" s="500" t="str">
        <f>IF(F60="Saisir la valeur","",IF(F60&lt;'Valeurs de reference'!F39,"Hauteur trop basse",IF(F60&gt;'Valeurs de reference'!F40,"Hauteur trop haute","")))</f>
        <v/>
      </c>
      <c r="J60" s="500"/>
      <c r="K60" s="500"/>
      <c r="L60" s="17"/>
      <c r="M60" s="37"/>
      <c r="N60" s="17"/>
      <c r="O60" s="37"/>
    </row>
    <row r="61" spans="2:15" ht="12.75" customHeight="1" x14ac:dyDescent="0.25">
      <c r="B61" s="13">
        <f t="shared" si="2"/>
        <v>41</v>
      </c>
      <c r="C61" s="17"/>
      <c r="D61" s="494" t="s">
        <v>70</v>
      </c>
      <c r="E61" s="494"/>
      <c r="F61" s="23" t="s">
        <v>30</v>
      </c>
      <c r="G61" s="12"/>
      <c r="H61" s="17"/>
      <c r="I61" s="502" t="str">
        <f>IF(F61="oui","Vérifier les préconisaitions prévues dans le guide de conception des silos des Communes forestières","")</f>
        <v/>
      </c>
      <c r="J61" s="502"/>
      <c r="K61" s="502"/>
      <c r="L61" s="17"/>
      <c r="M61" s="23"/>
      <c r="N61" s="17"/>
      <c r="O61" s="23"/>
    </row>
    <row r="62" spans="2:15" ht="25.5" customHeight="1" x14ac:dyDescent="0.25">
      <c r="B62" s="56"/>
      <c r="C62" s="17"/>
      <c r="D62" s="34" t="s">
        <v>72</v>
      </c>
      <c r="E62" s="12"/>
      <c r="F62" s="12"/>
      <c r="G62" s="12"/>
      <c r="H62" s="17"/>
      <c r="I62" s="494"/>
      <c r="J62" s="494"/>
      <c r="K62" s="494"/>
      <c r="L62" s="17"/>
      <c r="M62" s="37"/>
      <c r="N62" s="17"/>
      <c r="O62" s="37"/>
    </row>
    <row r="63" spans="2:15" x14ac:dyDescent="0.25">
      <c r="B63" s="52">
        <f>B61+1</f>
        <v>42</v>
      </c>
      <c r="C63" s="17"/>
      <c r="D63" s="36" t="s">
        <v>51</v>
      </c>
      <c r="E63" s="36"/>
      <c r="F63" s="45" t="s">
        <v>143</v>
      </c>
      <c r="G63" s="36" t="s">
        <v>16</v>
      </c>
      <c r="H63" s="17"/>
      <c r="I63" s="500"/>
      <c r="J63" s="500"/>
      <c r="K63" s="500"/>
      <c r="L63" s="17"/>
      <c r="M63" s="23"/>
      <c r="N63" s="17"/>
      <c r="O63" s="23"/>
    </row>
    <row r="64" spans="2:15" ht="12.75" customHeight="1" x14ac:dyDescent="0.25">
      <c r="B64" s="13">
        <f>B63+1</f>
        <v>43</v>
      </c>
      <c r="C64" s="17"/>
      <c r="D64" s="12" t="s">
        <v>52</v>
      </c>
      <c r="E64" s="12"/>
      <c r="F64" s="96" t="s">
        <v>143</v>
      </c>
      <c r="G64" s="12" t="s">
        <v>16</v>
      </c>
      <c r="H64" s="17"/>
      <c r="I64" s="502" t="str">
        <f>IF(F64="Saisir la valeur","",IF((F64-vol_utile_silo)&gt;vol_utile_silo*0.1,"Vérifier",IF(vol_utile_silo-F64&gt;vol_utile_silo*0.1,"Vérifier","")))</f>
        <v/>
      </c>
      <c r="J64" s="502"/>
      <c r="K64" s="502"/>
      <c r="L64" s="17"/>
      <c r="M64" s="37"/>
      <c r="N64" s="17"/>
      <c r="O64" s="37"/>
    </row>
    <row r="65" spans="2:15" ht="12.75" customHeight="1" x14ac:dyDescent="0.25">
      <c r="B65" s="52">
        <f t="shared" ref="B65:B79" si="3">B64+1</f>
        <v>44</v>
      </c>
      <c r="C65" s="17"/>
      <c r="D65" s="36"/>
      <c r="E65" s="38" t="s">
        <v>27</v>
      </c>
      <c r="F65" s="407" t="str">
        <f>IF(vol_total_silo="saisir la valeur","",F63*Excel_BuiltIn__FilterDatabase_4/100)</f>
        <v/>
      </c>
      <c r="G65" s="36" t="s">
        <v>16</v>
      </c>
      <c r="H65" s="17"/>
      <c r="I65" s="500"/>
      <c r="J65" s="500"/>
      <c r="K65" s="500"/>
      <c r="L65" s="17"/>
      <c r="M65" s="23"/>
      <c r="N65" s="17"/>
      <c r="O65" s="23"/>
    </row>
    <row r="66" spans="2:15" ht="12.75" customHeight="1" x14ac:dyDescent="0.25">
      <c r="B66" s="13">
        <f t="shared" si="3"/>
        <v>45</v>
      </c>
      <c r="C66" s="17"/>
      <c r="D66" s="12" t="s">
        <v>172</v>
      </c>
      <c r="E66" s="12"/>
      <c r="F66" s="96" t="s">
        <v>143</v>
      </c>
      <c r="G66" s="12" t="s">
        <v>10</v>
      </c>
      <c r="H66" s="17"/>
      <c r="I66" s="494" t="str">
        <f>IF(F66="Saisir la valeur","",IF(F66&gt;'Valeurs de reference'!F42,"Profondeur trop importante",""))</f>
        <v/>
      </c>
      <c r="J66" s="494"/>
      <c r="K66" s="494"/>
      <c r="L66" s="17"/>
      <c r="M66" s="37"/>
      <c r="N66" s="17"/>
      <c r="O66" s="37"/>
    </row>
    <row r="67" spans="2:15" ht="12.75" customHeight="1" x14ac:dyDescent="0.25">
      <c r="B67" s="52">
        <f t="shared" si="3"/>
        <v>46</v>
      </c>
      <c r="C67" s="17"/>
      <c r="D67" s="36" t="s">
        <v>125</v>
      </c>
      <c r="E67" s="36"/>
      <c r="F67" s="37" t="s">
        <v>30</v>
      </c>
      <c r="G67" s="36"/>
      <c r="H67" s="17"/>
      <c r="I67" s="500" t="str">
        <f>IF(F67="Choisir","",IF(F67="Autres","Indiquer votre choix ci-contre","Assurez vous que ce type de camion est disponible parmi les fournisseurs proches"))</f>
        <v/>
      </c>
      <c r="J67" s="500"/>
      <c r="K67" s="500"/>
      <c r="L67" s="17"/>
      <c r="M67" s="23"/>
      <c r="N67" s="17"/>
      <c r="O67" s="23"/>
    </row>
    <row r="68" spans="2:15" ht="12.75" customHeight="1" x14ac:dyDescent="0.25">
      <c r="B68" s="13">
        <f t="shared" si="3"/>
        <v>47</v>
      </c>
      <c r="C68" s="17"/>
      <c r="D68" s="12" t="s">
        <v>26</v>
      </c>
      <c r="E68" s="12"/>
      <c r="F68" s="23" t="s">
        <v>30</v>
      </c>
      <c r="G68" s="12"/>
      <c r="H68" s="17"/>
      <c r="I68" s="502"/>
      <c r="J68" s="502"/>
      <c r="K68" s="502"/>
      <c r="L68" s="17"/>
      <c r="M68" s="37"/>
      <c r="N68" s="17"/>
      <c r="O68" s="37"/>
    </row>
    <row r="69" spans="2:15" ht="12.75" customHeight="1" x14ac:dyDescent="0.25">
      <c r="B69" s="52">
        <f t="shared" si="3"/>
        <v>48</v>
      </c>
      <c r="C69" s="17"/>
      <c r="D69" s="36"/>
      <c r="E69" s="38" t="s">
        <v>190</v>
      </c>
      <c r="F69" s="263" t="str">
        <f>IF(F24="Choisir","",IF(F68="Choisir","",IF(F28="Saisir la valeur","",IF(F24='Valeurs de reference'!M11,F28*3/F68,IF(F24='Valeurs de reference'!M13,F28*3/F68,IF(F24='Valeurs de reference'!M14,F28*3/F68,F28*3/F68))))))</f>
        <v/>
      </c>
      <c r="G69" s="36"/>
      <c r="H69" s="17"/>
      <c r="I69" s="500" t="str">
        <f>IF(F69="","",IF(Puiss_bois&lt;150,IF(F69&gt;'Valeurs de reference'!F28,"L'automonie du silo parait trop faible ou le moyen de livraison semble inadapté",""),IF(Puiss_bois&lt;501,IF(F69&gt;'Valeurs de reference'!F29,"L'automonie du silo parait trop faible ou le moyen de livraison semble inadapté",""),IF(Puiss_bois&lt;1000,IF(F69&gt;'Valeurs de reference'!F30,"L'automonie du silo parait trop faible ou le moyen de livraison semble inadapté",""),IF(Puiss_bois&gt;1000,"Autonomie du silo à vérifer avec le Maître d'ouvrage","")))))</f>
        <v/>
      </c>
      <c r="J69" s="500"/>
      <c r="K69" s="500"/>
      <c r="L69" s="17"/>
      <c r="M69" s="23"/>
      <c r="N69" s="17"/>
      <c r="O69" s="23"/>
    </row>
    <row r="70" spans="2:15" ht="12.75" customHeight="1" x14ac:dyDescent="0.25">
      <c r="B70" s="13">
        <f t="shared" si="3"/>
        <v>49</v>
      </c>
      <c r="C70" s="17"/>
      <c r="D70" s="12" t="s">
        <v>53</v>
      </c>
      <c r="E70" s="12"/>
      <c r="F70" s="45" t="s">
        <v>143</v>
      </c>
      <c r="G70" s="12" t="s">
        <v>8</v>
      </c>
      <c r="H70" s="17"/>
      <c r="I70" s="502" t="str">
        <f>IF(F71="","",IF(F70="saisir la valeur","",IF((F70-F71)&gt;F71*0.15,"La différence entre l'autonomie théorique et calculée est supérieure à 15% =&gt; A vérifier",IF(F71-F70&gt;F71*0.15,"La différence entre l'autonomie théorique et calculée est supérieure à 15% =&gt; A vérifier",""))))</f>
        <v/>
      </c>
      <c r="J70" s="502"/>
      <c r="K70" s="502"/>
      <c r="L70" s="17"/>
      <c r="M70" s="37"/>
      <c r="N70" s="17"/>
      <c r="O70" s="37"/>
    </row>
    <row r="71" spans="2:15" x14ac:dyDescent="0.25">
      <c r="B71" s="52">
        <f t="shared" si="3"/>
        <v>50</v>
      </c>
      <c r="C71" s="17"/>
      <c r="D71" s="36"/>
      <c r="E71" s="38" t="s">
        <v>241</v>
      </c>
      <c r="F71" s="118" t="str">
        <f>IF(vol_utile_silo="","",(((vol_utile_silo/(1000/(6.6667*F25+50)))*J25)/(Puiss_bois*0.6))/24)</f>
        <v/>
      </c>
      <c r="G71" s="36" t="s">
        <v>8</v>
      </c>
      <c r="H71" s="17"/>
      <c r="I71" s="500" t="str">
        <f>IF(F71&lt;'Valeurs de reference'!F43,"Autonomie trop faible (&lt; 4 jours = Cumul WE + jours férié)","")</f>
        <v/>
      </c>
      <c r="J71" s="500"/>
      <c r="K71" s="500"/>
      <c r="L71" s="17"/>
      <c r="M71" s="23"/>
      <c r="N71" s="17"/>
      <c r="O71" s="23"/>
    </row>
    <row r="72" spans="2:15" ht="12.75" customHeight="1" x14ac:dyDescent="0.25">
      <c r="B72" s="13">
        <f t="shared" si="3"/>
        <v>51</v>
      </c>
      <c r="C72" s="17"/>
      <c r="D72" s="12" t="s">
        <v>34</v>
      </c>
      <c r="E72" s="12"/>
      <c r="F72" s="23" t="s">
        <v>30</v>
      </c>
      <c r="G72" s="12"/>
      <c r="H72" s="17"/>
      <c r="I72" s="502" t="str">
        <f>IF(F72='Valeurs de reference'!AG9,"",IF(F72='Valeurs de reference'!AG8,"",IF(F72='Valeurs de reference'!AG14,"","Attention à la configuration et au temps de livraison")))</f>
        <v/>
      </c>
      <c r="J72" s="502"/>
      <c r="K72" s="502"/>
      <c r="L72" s="17"/>
      <c r="M72" s="37"/>
      <c r="N72" s="17"/>
      <c r="O72" s="37"/>
    </row>
    <row r="73" spans="2:15" x14ac:dyDescent="0.25">
      <c r="B73" s="52">
        <f t="shared" si="3"/>
        <v>52</v>
      </c>
      <c r="C73" s="17"/>
      <c r="D73" s="36" t="s">
        <v>68</v>
      </c>
      <c r="E73" s="36"/>
      <c r="F73" s="37" t="s">
        <v>30</v>
      </c>
      <c r="G73" s="36"/>
      <c r="H73" s="17"/>
      <c r="I73" s="500" t="str">
        <f>IF(F73='Valeurs de reference'!AI12,"",IF(F73='Valeurs de reference'!AI8,"",IF(F24='Valeurs de reference'!M9,IF('Fiche de vérification'!F73='Valeurs de reference'!AI9,"Adéquation Combustible/dessileur OK","Adéquation Combustible/dessileur à confirmer"),IF('Fiche de vérification'!F73='Valeurs de reference'!AI9,"Adéquation Combustible/dessileur non conforme","Adéquation Combustible/dessileur OK"))))</f>
        <v/>
      </c>
      <c r="J73" s="500"/>
      <c r="K73" s="500"/>
      <c r="L73" s="17"/>
      <c r="M73" s="23"/>
      <c r="N73" s="17"/>
      <c r="O73" s="23"/>
    </row>
    <row r="74" spans="2:15" ht="12.75" customHeight="1" x14ac:dyDescent="0.25">
      <c r="B74" s="13">
        <f t="shared" si="3"/>
        <v>53</v>
      </c>
      <c r="C74" s="17"/>
      <c r="D74" s="12" t="s">
        <v>28</v>
      </c>
      <c r="E74" s="12"/>
      <c r="F74" s="23" t="s">
        <v>30</v>
      </c>
      <c r="G74" s="12"/>
      <c r="H74" s="17"/>
      <c r="I74" s="502" t="str">
        <f>IF(F74="non","Justifier l'abscence de grille anti-chute","")</f>
        <v/>
      </c>
      <c r="J74" s="502"/>
      <c r="K74" s="502"/>
      <c r="L74" s="17"/>
      <c r="M74" s="37"/>
      <c r="N74" s="17"/>
      <c r="O74" s="37"/>
    </row>
    <row r="75" spans="2:15" x14ac:dyDescent="0.25">
      <c r="B75" s="52">
        <f t="shared" si="3"/>
        <v>54</v>
      </c>
      <c r="C75" s="17"/>
      <c r="D75" s="36" t="s">
        <v>54</v>
      </c>
      <c r="E75" s="36"/>
      <c r="F75" s="37" t="s">
        <v>30</v>
      </c>
      <c r="G75" s="36"/>
      <c r="H75" s="17"/>
      <c r="I75" s="500" t="str">
        <f>IF(F75="non","Il est nécessaire de revoir la conception de la grille anti-chute","")</f>
        <v/>
      </c>
      <c r="J75" s="500"/>
      <c r="K75" s="500"/>
      <c r="L75" s="17"/>
      <c r="M75" s="23"/>
      <c r="N75" s="17"/>
      <c r="O75" s="23"/>
    </row>
    <row r="76" spans="2:15" ht="12.75" customHeight="1" x14ac:dyDescent="0.25">
      <c r="B76" s="13">
        <f t="shared" si="3"/>
        <v>55</v>
      </c>
      <c r="C76" s="17"/>
      <c r="D76" s="12" t="s">
        <v>151</v>
      </c>
      <c r="E76" s="12"/>
      <c r="F76" s="23" t="s">
        <v>30</v>
      </c>
      <c r="G76" s="12"/>
      <c r="H76" s="17"/>
      <c r="I76" s="502" t="str">
        <f>IF(F76="non","Prévoir un accès pour maintance/réparation","")</f>
        <v/>
      </c>
      <c r="J76" s="502"/>
      <c r="K76" s="502"/>
      <c r="L76" s="17"/>
      <c r="M76" s="37"/>
      <c r="N76" s="17"/>
      <c r="O76" s="37"/>
    </row>
    <row r="77" spans="2:15" x14ac:dyDescent="0.25">
      <c r="B77" s="52">
        <f t="shared" si="3"/>
        <v>56</v>
      </c>
      <c r="C77" s="17"/>
      <c r="D77" s="36" t="s">
        <v>29</v>
      </c>
      <c r="E77" s="36"/>
      <c r="F77" s="37" t="s">
        <v>30</v>
      </c>
      <c r="G77" s="36"/>
      <c r="H77" s="17"/>
      <c r="I77" s="500" t="str">
        <f>IF(F77="non","Prévoir un système adapté pour justifier cela","")</f>
        <v/>
      </c>
      <c r="J77" s="500"/>
      <c r="K77" s="500"/>
      <c r="L77" s="17"/>
      <c r="M77" s="23"/>
      <c r="N77" s="17"/>
      <c r="O77" s="23"/>
    </row>
    <row r="78" spans="2:15" ht="12.75" customHeight="1" x14ac:dyDescent="0.25">
      <c r="B78" s="13">
        <f t="shared" si="3"/>
        <v>57</v>
      </c>
      <c r="C78" s="17"/>
      <c r="D78" s="12" t="s">
        <v>74</v>
      </c>
      <c r="E78" s="12"/>
      <c r="F78" s="23" t="s">
        <v>143</v>
      </c>
      <c r="G78" s="12" t="s">
        <v>108</v>
      </c>
      <c r="H78" s="17"/>
      <c r="I78" s="502" t="str">
        <f>IF(F78="Saisir la valeur","",IF(F78&gt;'Valeurs de reference'!F44,"Prévenir le Maitre d'ouvrage que la livraison sera longue et envisager un surcoût de livraison",""))</f>
        <v/>
      </c>
      <c r="J78" s="502"/>
      <c r="K78" s="502"/>
      <c r="L78" s="17"/>
      <c r="M78" s="37"/>
      <c r="N78" s="17"/>
      <c r="O78" s="37"/>
    </row>
    <row r="79" spans="2:15" x14ac:dyDescent="0.25">
      <c r="B79" s="52">
        <f t="shared" si="3"/>
        <v>58</v>
      </c>
      <c r="C79" s="17"/>
      <c r="D79" s="36" t="s">
        <v>225</v>
      </c>
      <c r="E79" s="36"/>
      <c r="F79" s="37" t="s">
        <v>30</v>
      </c>
      <c r="G79" s="36"/>
      <c r="H79" s="17"/>
      <c r="I79" s="500" t="str">
        <f>IF(F79="non","Effectuer les modifications nécessaires pour permettre le bennage","")</f>
        <v/>
      </c>
      <c r="J79" s="500"/>
      <c r="K79" s="500"/>
      <c r="L79" s="17"/>
      <c r="M79" s="23"/>
      <c r="N79" s="17"/>
      <c r="O79" s="23"/>
    </row>
    <row r="80" spans="2:15" ht="25.5" customHeight="1" x14ac:dyDescent="0.25">
      <c r="B80" s="56"/>
      <c r="C80" s="17"/>
      <c r="D80" s="34" t="s">
        <v>42</v>
      </c>
      <c r="E80" s="12"/>
      <c r="F80" s="12"/>
      <c r="G80" s="12"/>
      <c r="H80" s="17"/>
      <c r="I80" s="494"/>
      <c r="J80" s="494"/>
      <c r="K80" s="494"/>
      <c r="L80" s="17"/>
      <c r="M80" s="37"/>
      <c r="N80" s="17"/>
      <c r="O80" s="37"/>
    </row>
    <row r="81" spans="2:15" x14ac:dyDescent="0.25">
      <c r="B81" s="52">
        <f>B79+1</f>
        <v>59</v>
      </c>
      <c r="C81" s="17"/>
      <c r="D81" s="36" t="s">
        <v>17</v>
      </c>
      <c r="E81" s="36"/>
      <c r="F81" s="37" t="s">
        <v>30</v>
      </c>
      <c r="G81" s="36"/>
      <c r="H81" s="17"/>
      <c r="I81" s="500" t="str">
        <f>IF(F81="&gt; 10 %","Problèmes en cas de neige ou de verglas","")</f>
        <v/>
      </c>
      <c r="J81" s="500"/>
      <c r="K81" s="500"/>
      <c r="L81" s="17"/>
      <c r="M81" s="23"/>
      <c r="N81" s="17"/>
      <c r="O81" s="23"/>
    </row>
    <row r="82" spans="2:15" ht="12.75" customHeight="1" x14ac:dyDescent="0.25">
      <c r="B82" s="13">
        <f>B81+1</f>
        <v>60</v>
      </c>
      <c r="C82" s="17"/>
      <c r="D82" s="12" t="s">
        <v>18</v>
      </c>
      <c r="E82" s="12"/>
      <c r="F82" s="23" t="s">
        <v>30</v>
      </c>
      <c r="G82" s="12"/>
      <c r="H82" s="17"/>
      <c r="I82" s="502" t="str">
        <f>IF(F82="&gt; 2 %","Problèmes en cas de neige ou de verglas","")</f>
        <v/>
      </c>
      <c r="J82" s="502"/>
      <c r="K82" s="502"/>
      <c r="L82" s="17"/>
      <c r="M82" s="37"/>
      <c r="N82" s="17"/>
      <c r="O82" s="37"/>
    </row>
    <row r="83" spans="2:15" x14ac:dyDescent="0.25">
      <c r="B83" s="52">
        <f t="shared" ref="B83:B88" si="4">B82+1</f>
        <v>61</v>
      </c>
      <c r="C83" s="17"/>
      <c r="D83" s="36" t="s">
        <v>109</v>
      </c>
      <c r="E83" s="36"/>
      <c r="F83" s="37" t="s">
        <v>30</v>
      </c>
      <c r="G83" s="36"/>
      <c r="H83" s="17"/>
      <c r="I83" s="500" t="str">
        <f>IF(F83="non","Point à contrôler !","")</f>
        <v/>
      </c>
      <c r="J83" s="500"/>
      <c r="K83" s="500"/>
      <c r="L83" s="17"/>
      <c r="M83" s="23"/>
      <c r="N83" s="17"/>
      <c r="O83" s="23"/>
    </row>
    <row r="84" spans="2:15" x14ac:dyDescent="0.25">
      <c r="B84" s="13">
        <f>B83+1</f>
        <v>62</v>
      </c>
      <c r="C84" s="17"/>
      <c r="D84" s="12" t="s">
        <v>226</v>
      </c>
      <c r="E84" s="12"/>
      <c r="F84" s="23" t="s">
        <v>30</v>
      </c>
      <c r="G84" s="12"/>
      <c r="H84" s="17"/>
      <c r="I84" s="502" t="str">
        <f>IF(F84="Sans objet","",IF(F84="choisir","",IF(F84="&gt; 4 m","","Prévoir une voie d'accès plus large")))</f>
        <v/>
      </c>
      <c r="J84" s="502"/>
      <c r="K84" s="502"/>
      <c r="L84" s="17"/>
      <c r="M84" s="37"/>
      <c r="N84" s="17"/>
      <c r="O84" s="37"/>
    </row>
    <row r="85" spans="2:15" ht="12.75" customHeight="1" x14ac:dyDescent="0.25">
      <c r="B85" s="52">
        <f t="shared" si="4"/>
        <v>63</v>
      </c>
      <c r="C85" s="17"/>
      <c r="D85" s="36" t="s">
        <v>19</v>
      </c>
      <c r="E85" s="36"/>
      <c r="F85" s="37" t="s">
        <v>30</v>
      </c>
      <c r="G85" s="36"/>
      <c r="H85" s="17"/>
      <c r="I85" s="500" t="str">
        <f>IF(F85='Valeurs de reference'!AQ10,"Vérifier que les camions de livraisons pourront passer malgré cette faible hauteur","")</f>
        <v/>
      </c>
      <c r="J85" s="500"/>
      <c r="K85" s="500"/>
      <c r="L85" s="17"/>
      <c r="M85" s="23"/>
      <c r="N85" s="17"/>
      <c r="O85" s="23"/>
    </row>
    <row r="86" spans="2:15" x14ac:dyDescent="0.25">
      <c r="B86" s="13">
        <f t="shared" si="4"/>
        <v>64</v>
      </c>
      <c r="C86" s="17"/>
      <c r="D86" s="12" t="s">
        <v>20</v>
      </c>
      <c r="E86" s="12"/>
      <c r="F86" s="23" t="s">
        <v>30</v>
      </c>
      <c r="G86" s="12"/>
      <c r="H86" s="17"/>
      <c r="I86" s="502" t="str">
        <f>IF(F86="non","Justifier la possibilité de manoeuvre","")</f>
        <v/>
      </c>
      <c r="J86" s="502"/>
      <c r="K86" s="502"/>
      <c r="L86" s="17"/>
      <c r="M86" s="37"/>
      <c r="N86" s="17"/>
      <c r="O86" s="37"/>
    </row>
    <row r="87" spans="2:15" x14ac:dyDescent="0.25">
      <c r="B87" s="52">
        <f>B86+1</f>
        <v>65</v>
      </c>
      <c r="C87" s="17"/>
      <c r="D87" s="36" t="s">
        <v>21</v>
      </c>
      <c r="E87" s="36"/>
      <c r="F87" s="37" t="s">
        <v>30</v>
      </c>
      <c r="G87" s="36"/>
      <c r="H87" s="17"/>
      <c r="I87" s="500" t="str">
        <f>IF(F87="non","Justifier la possibilité de manoeuvre","")</f>
        <v/>
      </c>
      <c r="J87" s="500"/>
      <c r="K87" s="500"/>
      <c r="L87" s="17"/>
      <c r="M87" s="23"/>
      <c r="N87" s="17"/>
      <c r="O87" s="23"/>
    </row>
    <row r="88" spans="2:15" ht="12.75" customHeight="1" x14ac:dyDescent="0.25">
      <c r="B88" s="13">
        <f t="shared" si="4"/>
        <v>66</v>
      </c>
      <c r="C88" s="17"/>
      <c r="D88" s="12" t="s">
        <v>23</v>
      </c>
      <c r="E88" s="12"/>
      <c r="F88" s="23" t="s">
        <v>30</v>
      </c>
      <c r="G88" s="12"/>
      <c r="H88" s="17"/>
      <c r="I88" s="502" t="str">
        <f>IF(F88="non","Justifier la facilité de livraison","")</f>
        <v/>
      </c>
      <c r="J88" s="502"/>
      <c r="K88" s="502"/>
      <c r="L88" s="17"/>
      <c r="M88" s="37"/>
      <c r="N88" s="17"/>
      <c r="O88" s="37"/>
    </row>
    <row r="89" spans="2:15" x14ac:dyDescent="0.25">
      <c r="B89" s="2"/>
      <c r="C89" s="17"/>
      <c r="D89" s="1"/>
      <c r="E89" s="1"/>
      <c r="F89" s="2"/>
      <c r="G89" s="1"/>
      <c r="H89" s="17"/>
      <c r="I89" s="17"/>
      <c r="J89" s="1"/>
      <c r="K89" s="1"/>
      <c r="L89" s="17"/>
      <c r="M89" s="1"/>
      <c r="N89" s="17"/>
      <c r="O89" s="1"/>
    </row>
    <row r="90" spans="2:15" ht="13.8" x14ac:dyDescent="0.25">
      <c r="B90" s="55"/>
      <c r="C90" s="15"/>
      <c r="D90" s="32"/>
      <c r="E90" s="15" t="s">
        <v>12</v>
      </c>
      <c r="F90" s="16"/>
      <c r="G90" s="16"/>
      <c r="H90" s="16"/>
      <c r="I90" s="16"/>
      <c r="J90" s="16"/>
      <c r="K90" s="16"/>
      <c r="L90" s="16"/>
      <c r="M90" s="16"/>
      <c r="N90" s="16"/>
      <c r="O90" s="16"/>
    </row>
    <row r="91" spans="2:15" ht="12" customHeight="1" x14ac:dyDescent="0.25">
      <c r="B91" s="52">
        <f>B88+1</f>
        <v>67</v>
      </c>
      <c r="C91" s="17"/>
      <c r="D91" s="495" t="s">
        <v>153</v>
      </c>
      <c r="E91" s="495"/>
      <c r="F91" s="37" t="s">
        <v>30</v>
      </c>
      <c r="G91" s="36"/>
      <c r="H91" s="17"/>
      <c r="I91" s="500" t="str">
        <f>IF(F91="Choisir","",IF(F91="non","Il est conseillé de contacter un fournisseur dès la conception pour l'accès au silo","Présenter la Démarche Qualité Bois Déchiqueté et proposer l'adhésion"))</f>
        <v/>
      </c>
      <c r="J91" s="500"/>
      <c r="K91" s="500"/>
      <c r="L91" s="17"/>
      <c r="M91" s="23"/>
      <c r="N91" s="17"/>
      <c r="O91" s="23"/>
    </row>
    <row r="92" spans="2:15" ht="12.75" customHeight="1" x14ac:dyDescent="0.25">
      <c r="B92" s="13">
        <f>B91+1</f>
        <v>68</v>
      </c>
      <c r="D92" s="494" t="s">
        <v>152</v>
      </c>
      <c r="E92" s="494"/>
      <c r="F92" s="23" t="s">
        <v>30</v>
      </c>
      <c r="G92" s="12"/>
      <c r="H92" s="17"/>
      <c r="I92" s="502" t="str">
        <f>IF(F92="Choisir","",IF(F92='Valeurs de reference'!AU9,"Nécessité d'avoir 2 devis",IF(F92='Valeurs de reference'!AU10,"Nécessité d'avoir 2 devis","")))</f>
        <v/>
      </c>
      <c r="J92" s="502"/>
      <c r="K92" s="502"/>
      <c r="L92" s="17"/>
      <c r="M92" s="37"/>
      <c r="N92" s="17"/>
      <c r="O92" s="37"/>
    </row>
    <row r="93" spans="2:15" s="17" customFormat="1" ht="27.9" customHeight="1" x14ac:dyDescent="0.25">
      <c r="B93" s="57"/>
      <c r="D93" s="28"/>
      <c r="E93" s="28"/>
      <c r="F93" s="35"/>
      <c r="G93" s="28"/>
      <c r="I93" s="504" t="s">
        <v>458</v>
      </c>
      <c r="J93" s="504"/>
      <c r="K93" s="504"/>
      <c r="M93" s="28"/>
      <c r="O93" s="28"/>
    </row>
    <row r="94" spans="2:15" ht="13.8" x14ac:dyDescent="0.25">
      <c r="B94" s="55"/>
      <c r="C94" s="15"/>
      <c r="D94" s="32"/>
      <c r="E94" s="266" t="s">
        <v>62</v>
      </c>
      <c r="F94" s="16"/>
      <c r="G94" s="16"/>
      <c r="H94" s="16"/>
      <c r="I94" s="16"/>
      <c r="J94" s="16"/>
      <c r="K94" s="16"/>
      <c r="L94" s="16"/>
      <c r="M94" s="16"/>
      <c r="N94" s="16"/>
      <c r="O94" s="16"/>
    </row>
    <row r="95" spans="2:15" x14ac:dyDescent="0.25">
      <c r="B95" s="52">
        <f>B92+1</f>
        <v>69</v>
      </c>
      <c r="C95" s="17"/>
      <c r="D95" s="36" t="s">
        <v>63</v>
      </c>
      <c r="E95" s="36"/>
      <c r="F95" s="45" t="s">
        <v>143</v>
      </c>
      <c r="G95" s="36" t="s">
        <v>178</v>
      </c>
      <c r="H95" s="17"/>
      <c r="I95" s="500"/>
      <c r="J95" s="500"/>
      <c r="K95" s="500"/>
      <c r="L95" s="17"/>
      <c r="M95" s="23"/>
      <c r="N95" s="17"/>
      <c r="O95" s="23"/>
    </row>
    <row r="96" spans="2:15" ht="12.75" customHeight="1" x14ac:dyDescent="0.25">
      <c r="B96" s="13">
        <f>B95+1</f>
        <v>70</v>
      </c>
      <c r="D96" s="12"/>
      <c r="E96" s="39" t="s">
        <v>121</v>
      </c>
      <c r="F96" s="93" t="str">
        <f>IF(F95="Saisir la valeur","",0.1172*Puiss_totale^2-9.6627*Puiss_totale+25000)</f>
        <v/>
      </c>
      <c r="G96" s="12" t="s">
        <v>178</v>
      </c>
      <c r="H96" s="17"/>
      <c r="I96" s="502" t="str">
        <f>IF(F96="","",IF(F95="Saisir la Valeur","",IF((F95-F96)&gt;F96*0.2,"La différence entre investissement prévu et calculé est supérieur à 20% =&gt; Vérifier l'exactitude des données",IF(F96-F95&gt;F96*0.2,"La différence entre investissement prévu et calculé est supérieur à 20% =&gt; Vérifier l'exactitude des données",""))))</f>
        <v/>
      </c>
      <c r="J96" s="502"/>
      <c r="K96" s="502"/>
      <c r="L96" s="17"/>
      <c r="M96" s="37"/>
      <c r="N96" s="17"/>
      <c r="O96" s="37"/>
    </row>
    <row r="97" spans="2:15" x14ac:dyDescent="0.25">
      <c r="B97" s="52">
        <f t="shared" ref="B97:B106" si="5">B96+1</f>
        <v>71</v>
      </c>
      <c r="D97" s="36" t="s">
        <v>67</v>
      </c>
      <c r="E97" s="36"/>
      <c r="F97" s="45" t="s">
        <v>143</v>
      </c>
      <c r="G97" s="36" t="s">
        <v>178</v>
      </c>
      <c r="H97" s="17"/>
      <c r="I97" s="500"/>
      <c r="J97" s="500"/>
      <c r="K97" s="500"/>
      <c r="L97" s="17"/>
      <c r="M97" s="23"/>
      <c r="N97" s="17"/>
      <c r="O97" s="23"/>
    </row>
    <row r="98" spans="2:15" ht="12.75" customHeight="1" x14ac:dyDescent="0.25">
      <c r="B98" s="13">
        <f t="shared" si="5"/>
        <v>72</v>
      </c>
      <c r="D98" s="12"/>
      <c r="E98" s="39" t="s">
        <v>118</v>
      </c>
      <c r="F98" s="93" t="str">
        <f>IF(Puiss_totale="Saisir la valeur","",12207*Puiss_totale^0.509)</f>
        <v/>
      </c>
      <c r="G98" s="12" t="s">
        <v>178</v>
      </c>
      <c r="H98" s="17"/>
      <c r="I98" s="502" t="str">
        <f>IF(F97="saisir la valeur","",IF(F97="Saisir la valeur","",IF((F97-F98)&gt;F98*0.2,"La différence entre investissement prévu et calculé est supérieur à 20% =&gt; Vérifier l'exactitude des données",IF(F98-F97&gt;F98*0.2,"La différence entre investissement prévu et calculé est supérieur à 20% =&gt; Vérifier l'exactitude des données",""))))</f>
        <v/>
      </c>
      <c r="J98" s="502"/>
      <c r="K98" s="502"/>
      <c r="L98" s="17"/>
      <c r="M98" s="37"/>
      <c r="N98" s="17"/>
      <c r="O98" s="37"/>
    </row>
    <row r="99" spans="2:15" x14ac:dyDescent="0.25">
      <c r="B99" s="52">
        <f t="shared" si="5"/>
        <v>73</v>
      </c>
      <c r="D99" s="36" t="s">
        <v>446</v>
      </c>
      <c r="E99" s="36"/>
      <c r="F99" s="45" t="s">
        <v>143</v>
      </c>
      <c r="G99" s="36" t="s">
        <v>178</v>
      </c>
      <c r="H99" s="17"/>
      <c r="I99" s="500"/>
      <c r="J99" s="500"/>
      <c r="K99" s="500"/>
      <c r="L99" s="17"/>
      <c r="M99" s="23"/>
      <c r="N99" s="17"/>
      <c r="O99" s="23"/>
    </row>
    <row r="100" spans="2:15" ht="12.75" customHeight="1" x14ac:dyDescent="0.25">
      <c r="B100" s="13">
        <f t="shared" si="5"/>
        <v>74</v>
      </c>
      <c r="D100" s="12"/>
      <c r="E100" s="39" t="s">
        <v>119</v>
      </c>
      <c r="F100" s="93" t="str">
        <f>IF(longueur_reseau="Saisir la valeur","",-0.10606*longueur_reseau*longueur_reseau+335.65*longueur_reseau+20000)</f>
        <v/>
      </c>
      <c r="G100" s="12" t="s">
        <v>178</v>
      </c>
      <c r="H100" s="17"/>
      <c r="I100" s="502" t="str">
        <f>IF(F100="","",IF(F99="Saisir la valeur","",IF((F99-F100)&gt;F100*0.2,"La différence entre investissement prévu et calculé est supérieur à 20% =&gt; Vérifier l'exactitude des données",IF(F100-F99&gt;F100*0.2,"La différence entre investissement prévu et calculé est supérieur à 20% =&gt; Vérifier l'exactitude des données",""))))</f>
        <v/>
      </c>
      <c r="J100" s="502"/>
      <c r="K100" s="502"/>
      <c r="L100" s="17"/>
      <c r="M100" s="37"/>
      <c r="N100" s="17"/>
      <c r="O100" s="37"/>
    </row>
    <row r="101" spans="2:15" x14ac:dyDescent="0.25">
      <c r="B101" s="52">
        <f t="shared" si="5"/>
        <v>75</v>
      </c>
      <c r="D101" s="36" t="s">
        <v>227</v>
      </c>
      <c r="E101" s="36"/>
      <c r="F101" s="45" t="s">
        <v>143</v>
      </c>
      <c r="G101" s="36" t="s">
        <v>178</v>
      </c>
      <c r="H101" s="17"/>
      <c r="I101" s="500"/>
      <c r="J101" s="500"/>
      <c r="K101" s="500"/>
      <c r="L101" s="17"/>
      <c r="M101" s="23"/>
      <c r="N101" s="17"/>
      <c r="O101" s="23"/>
    </row>
    <row r="102" spans="2:15" ht="12.75" customHeight="1" x14ac:dyDescent="0.25">
      <c r="B102" s="13">
        <f t="shared" si="5"/>
        <v>76</v>
      </c>
      <c r="D102" s="12" t="s">
        <v>228</v>
      </c>
      <c r="E102" s="12"/>
      <c r="F102" s="23" t="s">
        <v>143</v>
      </c>
      <c r="G102" s="12" t="s">
        <v>178</v>
      </c>
      <c r="H102" s="17"/>
      <c r="I102" s="502"/>
      <c r="J102" s="502"/>
      <c r="K102" s="502"/>
      <c r="L102" s="17"/>
      <c r="M102" s="37"/>
      <c r="N102" s="17"/>
      <c r="O102" s="37"/>
    </row>
    <row r="103" spans="2:15" x14ac:dyDescent="0.25">
      <c r="B103" s="52">
        <f t="shared" si="5"/>
        <v>77</v>
      </c>
      <c r="D103" s="36"/>
      <c r="E103" s="38" t="s">
        <v>120</v>
      </c>
      <c r="F103" s="47" t="str">
        <f>IF(F98="","",IF(F100="","",F100+F98))</f>
        <v/>
      </c>
      <c r="G103" s="36" t="s">
        <v>178</v>
      </c>
      <c r="H103" s="17"/>
      <c r="I103" s="500"/>
      <c r="J103" s="500"/>
      <c r="K103" s="500"/>
      <c r="L103" s="17"/>
      <c r="M103" s="23"/>
      <c r="N103" s="17"/>
      <c r="O103" s="23"/>
    </row>
    <row r="104" spans="2:15" ht="12.75" customHeight="1" x14ac:dyDescent="0.25">
      <c r="B104" s="13">
        <f t="shared" si="5"/>
        <v>78</v>
      </c>
      <c r="D104" s="494" t="s">
        <v>192</v>
      </c>
      <c r="E104" s="494"/>
      <c r="F104" s="116" t="s">
        <v>143</v>
      </c>
      <c r="G104" s="12" t="s">
        <v>134</v>
      </c>
      <c r="H104" s="17"/>
      <c r="I104" s="502"/>
      <c r="J104" s="502"/>
      <c r="K104" s="502"/>
      <c r="L104" s="17"/>
      <c r="M104" s="37"/>
      <c r="N104" s="17"/>
      <c r="O104" s="37"/>
    </row>
    <row r="105" spans="2:15" x14ac:dyDescent="0.25">
      <c r="B105" s="52">
        <f t="shared" si="5"/>
        <v>79</v>
      </c>
      <c r="D105" s="495" t="s">
        <v>193</v>
      </c>
      <c r="E105" s="495"/>
      <c r="F105" s="95" t="s">
        <v>143</v>
      </c>
      <c r="G105" s="36" t="s">
        <v>133</v>
      </c>
      <c r="H105" s="17"/>
      <c r="I105" s="500" t="str">
        <f>IF(F105="","",IF(F105&lt;5,"Attention : Projet non subventionable",IF(F105&gt;15,"Attention : Projet non subventionable","")))</f>
        <v>Attention : Projet non subventionable</v>
      </c>
      <c r="J105" s="500"/>
      <c r="K105" s="500"/>
      <c r="L105" s="17"/>
      <c r="M105" s="23"/>
      <c r="N105" s="17"/>
      <c r="O105" s="23"/>
    </row>
    <row r="106" spans="2:15" ht="12.75" customHeight="1" x14ac:dyDescent="0.25">
      <c r="B106" s="13">
        <f t="shared" si="5"/>
        <v>80</v>
      </c>
      <c r="D106" s="494" t="s">
        <v>229</v>
      </c>
      <c r="E106" s="494"/>
      <c r="F106" s="116" t="s">
        <v>143</v>
      </c>
      <c r="G106" s="12" t="s">
        <v>234</v>
      </c>
      <c r="H106" s="17"/>
      <c r="I106" s="502" t="str">
        <f>IF(F106="","",IF(F106&lt;'Valeurs de reference'!F53,"Le coût parait faible",IF(F106&gt;'Valeurs de reference'!F54,"Le coût parait élevé","")))</f>
        <v>Le coût parait élevé</v>
      </c>
      <c r="J106" s="502"/>
      <c r="K106" s="502"/>
      <c r="L106" s="17"/>
      <c r="M106" s="37"/>
      <c r="N106" s="17"/>
      <c r="O106" s="37"/>
    </row>
    <row r="107" spans="2:15" x14ac:dyDescent="0.25">
      <c r="B107" s="2"/>
      <c r="D107" s="1"/>
      <c r="E107" s="1"/>
      <c r="F107" s="2"/>
      <c r="G107" s="1"/>
      <c r="H107" s="17"/>
      <c r="I107" s="17"/>
      <c r="J107" s="1"/>
      <c r="K107" s="1"/>
      <c r="L107" s="17"/>
      <c r="N107" s="17"/>
      <c r="O107" s="1"/>
    </row>
    <row r="108" spans="2:15" ht="10.5" customHeight="1" x14ac:dyDescent="0.25">
      <c r="D108" s="508" t="s">
        <v>40</v>
      </c>
      <c r="E108" s="508"/>
      <c r="F108" s="508"/>
      <c r="G108" s="508"/>
      <c r="H108" s="508"/>
      <c r="I108" s="508"/>
      <c r="J108" s="508"/>
      <c r="K108" s="508"/>
      <c r="L108" s="508"/>
      <c r="M108" s="508"/>
      <c r="N108" s="508"/>
      <c r="O108" s="508"/>
    </row>
    <row r="109" spans="2:15" ht="50.25" customHeight="1" x14ac:dyDescent="0.25">
      <c r="D109" s="507"/>
      <c r="E109" s="507"/>
      <c r="F109" s="507"/>
      <c r="G109" s="507"/>
      <c r="H109" s="30"/>
      <c r="I109" s="30"/>
      <c r="J109" s="30"/>
      <c r="K109" s="30"/>
      <c r="L109" s="30"/>
      <c r="M109" s="30"/>
      <c r="N109" s="30"/>
      <c r="O109" s="30"/>
    </row>
    <row r="117" spans="7:9" x14ac:dyDescent="0.25">
      <c r="I117" s="111"/>
    </row>
    <row r="123" spans="7:9" x14ac:dyDescent="0.25">
      <c r="G123" s="117"/>
    </row>
  </sheetData>
  <sheetProtection algorithmName="SHA-512" hashValue="W5GUFfHRbqQuV2yPwci9LS3or1GNuBwGjistogSXiI4Hu9udQTZ5FbT+IFUK770M1gQN+fnmY1dvWA0qgJmksg==" saltValue="p81+Ztxnh0wnmRrPVv/iBg==" spinCount="100000" sheet="1" objects="1" selectLockedCells="1"/>
  <dataConsolidate link="1"/>
  <mergeCells count="139">
    <mergeCell ref="G8:J8"/>
    <mergeCell ref="D109:G109"/>
    <mergeCell ref="I83:K83"/>
    <mergeCell ref="I84:K84"/>
    <mergeCell ref="I104:K104"/>
    <mergeCell ref="I105:K105"/>
    <mergeCell ref="I106:K106"/>
    <mergeCell ref="I99:K99"/>
    <mergeCell ref="I100:K100"/>
    <mergeCell ref="I101:K101"/>
    <mergeCell ref="I102:K102"/>
    <mergeCell ref="I103:K103"/>
    <mergeCell ref="I95:K95"/>
    <mergeCell ref="I96:K96"/>
    <mergeCell ref="I97:K97"/>
    <mergeCell ref="I98:K98"/>
    <mergeCell ref="D108:O108"/>
    <mergeCell ref="I92:K92"/>
    <mergeCell ref="M15:O15"/>
    <mergeCell ref="B10:D10"/>
    <mergeCell ref="G9:J9"/>
    <mergeCell ref="G10:J10"/>
    <mergeCell ref="I64:K64"/>
    <mergeCell ref="I71:K71"/>
    <mergeCell ref="I91:K91"/>
    <mergeCell ref="I16:K16"/>
    <mergeCell ref="I17:K17"/>
    <mergeCell ref="I18:K18"/>
    <mergeCell ref="I23:K23"/>
    <mergeCell ref="I24:K24"/>
    <mergeCell ref="I39:K39"/>
    <mergeCell ref="I40:K40"/>
    <mergeCell ref="I41:K41"/>
    <mergeCell ref="I77:K77"/>
    <mergeCell ref="I75:K75"/>
    <mergeCell ref="I49:K49"/>
    <mergeCell ref="I32:K32"/>
    <mergeCell ref="I50:K50"/>
    <mergeCell ref="I73:K73"/>
    <mergeCell ref="I70:K70"/>
    <mergeCell ref="I42:K42"/>
    <mergeCell ref="I43:K43"/>
    <mergeCell ref="I68:K68"/>
    <mergeCell ref="I54:K54"/>
    <mergeCell ref="I56:K56"/>
    <mergeCell ref="I57:K57"/>
    <mergeCell ref="I58:K58"/>
    <mergeCell ref="I59:K59"/>
    <mergeCell ref="I60:K60"/>
    <mergeCell ref="I62:K62"/>
    <mergeCell ref="I63:K63"/>
    <mergeCell ref="I47:K47"/>
    <mergeCell ref="I48:K48"/>
    <mergeCell ref="I82:K82"/>
    <mergeCell ref="I88:K88"/>
    <mergeCell ref="I81:K81"/>
    <mergeCell ref="I85:K85"/>
    <mergeCell ref="I74:K74"/>
    <mergeCell ref="I61:K61"/>
    <mergeCell ref="I65:K65"/>
    <mergeCell ref="I86:K86"/>
    <mergeCell ref="I78:K78"/>
    <mergeCell ref="I87:K87"/>
    <mergeCell ref="I79:K79"/>
    <mergeCell ref="I67:K67"/>
    <mergeCell ref="I69:K69"/>
    <mergeCell ref="I76:K76"/>
    <mergeCell ref="D55:E55"/>
    <mergeCell ref="I55:K55"/>
    <mergeCell ref="I33:K33"/>
    <mergeCell ref="D31:E31"/>
    <mergeCell ref="D61:E61"/>
    <mergeCell ref="E1:J2"/>
    <mergeCell ref="I46:K46"/>
    <mergeCell ref="I30:K30"/>
    <mergeCell ref="I31:K31"/>
    <mergeCell ref="I34:K34"/>
    <mergeCell ref="I35:K35"/>
    <mergeCell ref="I51:K51"/>
    <mergeCell ref="I45:K45"/>
    <mergeCell ref="I28:K28"/>
    <mergeCell ref="I26:K26"/>
    <mergeCell ref="I27:K27"/>
    <mergeCell ref="I29:K29"/>
    <mergeCell ref="I21:K21"/>
    <mergeCell ref="D36:E36"/>
    <mergeCell ref="D30:E30"/>
    <mergeCell ref="D33:E33"/>
    <mergeCell ref="D39:E39"/>
    <mergeCell ref="D25:E25"/>
    <mergeCell ref="D51:E51"/>
    <mergeCell ref="I36:K36"/>
    <mergeCell ref="I44:K44"/>
    <mergeCell ref="D92:E92"/>
    <mergeCell ref="D91:E91"/>
    <mergeCell ref="D106:E106"/>
    <mergeCell ref="D105:E105"/>
    <mergeCell ref="D104:E104"/>
    <mergeCell ref="D56:E56"/>
    <mergeCell ref="D57:E57"/>
    <mergeCell ref="D60:E60"/>
    <mergeCell ref="D47:E47"/>
    <mergeCell ref="D48:E48"/>
    <mergeCell ref="D49:E49"/>
    <mergeCell ref="D50:E50"/>
    <mergeCell ref="D40:E40"/>
    <mergeCell ref="D41:E41"/>
    <mergeCell ref="D42:E42"/>
    <mergeCell ref="D43:E43"/>
    <mergeCell ref="D44:E44"/>
    <mergeCell ref="D46:E46"/>
    <mergeCell ref="I72:K72"/>
    <mergeCell ref="I66:K66"/>
    <mergeCell ref="I80:K80"/>
    <mergeCell ref="I93:K93"/>
    <mergeCell ref="D21:E21"/>
    <mergeCell ref="D34:E34"/>
    <mergeCell ref="D32:E32"/>
    <mergeCell ref="D35:E35"/>
    <mergeCell ref="D3:G3"/>
    <mergeCell ref="G6:J6"/>
    <mergeCell ref="G7:J7"/>
    <mergeCell ref="E12:J12"/>
    <mergeCell ref="B6:D6"/>
    <mergeCell ref="B7:D7"/>
    <mergeCell ref="B9:D9"/>
    <mergeCell ref="B12:D12"/>
    <mergeCell ref="I20:K20"/>
    <mergeCell ref="I14:K14"/>
    <mergeCell ref="I19:K19"/>
    <mergeCell ref="D16:E16"/>
    <mergeCell ref="D17:E17"/>
    <mergeCell ref="D18:E18"/>
    <mergeCell ref="D19:E19"/>
    <mergeCell ref="D20:E20"/>
    <mergeCell ref="I22:K22"/>
    <mergeCell ref="D22:E22"/>
    <mergeCell ref="D26:E26"/>
    <mergeCell ref="D24:E24"/>
  </mergeCells>
  <dataValidations count="5">
    <dataValidation allowBlank="1" showErrorMessage="1" sqref="F80 F62 F54"/>
    <dataValidation type="list" allowBlank="1" showErrorMessage="1" sqref="F93">
      <formula1>$Q$37:$Q$39</formula1>
      <formula2>0</formula2>
    </dataValidation>
    <dataValidation type="list" allowBlank="1" showInputMessage="1" showErrorMessage="1" sqref="O95:O106 O54:O88 O91:O92">
      <formula1>$J$39:$J$40</formula1>
    </dataValidation>
    <dataValidation type="list" allowBlank="1" showInputMessage="1" showErrorMessage="1" sqref="O67:O69">
      <formula1>$AL$15:$AL$16</formula1>
    </dataValidation>
    <dataValidation type="date" allowBlank="1" showInputMessage="1" showErrorMessage="1" sqref="E9">
      <formula1>1</formula1>
      <formula2>73415</formula2>
    </dataValidation>
  </dataValidations>
  <printOptions horizontalCentered="1"/>
  <pageMargins left="0" right="0" top="0.39374999999999999" bottom="0" header="0.51180555555555551" footer="0.51180555555555551"/>
  <pageSetup paperSize="9"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70" r:id="rId4" name="Check Box 46">
              <controlPr defaultSize="0" autoFill="0" autoLine="0" autoPict="0">
                <anchor moveWithCells="1">
                  <from>
                    <xdr:col>14</xdr:col>
                    <xdr:colOff>83820</xdr:colOff>
                    <xdr:row>14</xdr:row>
                    <xdr:rowOff>83820</xdr:rowOff>
                  </from>
                  <to>
                    <xdr:col>14</xdr:col>
                    <xdr:colOff>449580</xdr:colOff>
                    <xdr:row>16</xdr:row>
                    <xdr:rowOff>106680</xdr:rowOff>
                  </to>
                </anchor>
              </controlPr>
            </control>
          </mc:Choice>
        </mc:AlternateContent>
        <mc:AlternateContent xmlns:mc="http://schemas.openxmlformats.org/markup-compatibility/2006">
          <mc:Choice Requires="x14">
            <control shapeId="1071" r:id="rId5" name="Check Box 47">
              <controlPr defaultSize="0" autoFill="0" autoLine="0" autoPict="0">
                <anchor moveWithCells="1">
                  <from>
                    <xdr:col>14</xdr:col>
                    <xdr:colOff>83820</xdr:colOff>
                    <xdr:row>15</xdr:row>
                    <xdr:rowOff>68580</xdr:rowOff>
                  </from>
                  <to>
                    <xdr:col>14</xdr:col>
                    <xdr:colOff>449580</xdr:colOff>
                    <xdr:row>17</xdr:row>
                    <xdr:rowOff>83820</xdr:rowOff>
                  </to>
                </anchor>
              </controlPr>
            </control>
          </mc:Choice>
        </mc:AlternateContent>
        <mc:AlternateContent xmlns:mc="http://schemas.openxmlformats.org/markup-compatibility/2006">
          <mc:Choice Requires="x14">
            <control shapeId="1072" r:id="rId6" name="Check Box 48">
              <controlPr defaultSize="0" autoFill="0" autoLine="0" autoPict="0">
                <anchor moveWithCells="1">
                  <from>
                    <xdr:col>14</xdr:col>
                    <xdr:colOff>83820</xdr:colOff>
                    <xdr:row>16</xdr:row>
                    <xdr:rowOff>68580</xdr:rowOff>
                  </from>
                  <to>
                    <xdr:col>14</xdr:col>
                    <xdr:colOff>449580</xdr:colOff>
                    <xdr:row>18</xdr:row>
                    <xdr:rowOff>106680</xdr:rowOff>
                  </to>
                </anchor>
              </controlPr>
            </control>
          </mc:Choice>
        </mc:AlternateContent>
        <mc:AlternateContent xmlns:mc="http://schemas.openxmlformats.org/markup-compatibility/2006">
          <mc:Choice Requires="x14">
            <control shapeId="1073" r:id="rId7" name="Check Box 49">
              <controlPr defaultSize="0" autoFill="0" autoLine="0" autoPict="0">
                <anchor moveWithCells="1">
                  <from>
                    <xdr:col>14</xdr:col>
                    <xdr:colOff>83820</xdr:colOff>
                    <xdr:row>17</xdr:row>
                    <xdr:rowOff>68580</xdr:rowOff>
                  </from>
                  <to>
                    <xdr:col>14</xdr:col>
                    <xdr:colOff>449580</xdr:colOff>
                    <xdr:row>19</xdr:row>
                    <xdr:rowOff>106680</xdr:rowOff>
                  </to>
                </anchor>
              </controlPr>
            </control>
          </mc:Choice>
        </mc:AlternateContent>
        <mc:AlternateContent xmlns:mc="http://schemas.openxmlformats.org/markup-compatibility/2006">
          <mc:Choice Requires="x14">
            <control shapeId="1074" r:id="rId8" name="Check Box 50">
              <controlPr defaultSize="0" autoFill="0" autoLine="0" autoPict="0">
                <anchor moveWithCells="1">
                  <from>
                    <xdr:col>14</xdr:col>
                    <xdr:colOff>83820</xdr:colOff>
                    <xdr:row>18</xdr:row>
                    <xdr:rowOff>68580</xdr:rowOff>
                  </from>
                  <to>
                    <xdr:col>14</xdr:col>
                    <xdr:colOff>449580</xdr:colOff>
                    <xdr:row>20</xdr:row>
                    <xdr:rowOff>106680</xdr:rowOff>
                  </to>
                </anchor>
              </controlPr>
            </control>
          </mc:Choice>
        </mc:AlternateContent>
        <mc:AlternateContent xmlns:mc="http://schemas.openxmlformats.org/markup-compatibility/2006">
          <mc:Choice Requires="x14">
            <control shapeId="1075" r:id="rId9" name="Check Box 51">
              <controlPr defaultSize="0" autoFill="0" autoLine="0" autoPict="0">
                <anchor moveWithCells="1">
                  <from>
                    <xdr:col>14</xdr:col>
                    <xdr:colOff>83820</xdr:colOff>
                    <xdr:row>22</xdr:row>
                    <xdr:rowOff>68580</xdr:rowOff>
                  </from>
                  <to>
                    <xdr:col>14</xdr:col>
                    <xdr:colOff>457200</xdr:colOff>
                    <xdr:row>24</xdr:row>
                    <xdr:rowOff>83820</xdr:rowOff>
                  </to>
                </anchor>
              </controlPr>
            </control>
          </mc:Choice>
        </mc:AlternateContent>
        <mc:AlternateContent xmlns:mc="http://schemas.openxmlformats.org/markup-compatibility/2006">
          <mc:Choice Requires="x14">
            <control shapeId="1076" r:id="rId10" name="Check Box 52">
              <controlPr defaultSize="0" autoFill="0" autoLine="0" autoPict="0">
                <anchor moveWithCells="1">
                  <from>
                    <xdr:col>14</xdr:col>
                    <xdr:colOff>83820</xdr:colOff>
                    <xdr:row>23</xdr:row>
                    <xdr:rowOff>68580</xdr:rowOff>
                  </from>
                  <to>
                    <xdr:col>14</xdr:col>
                    <xdr:colOff>449580</xdr:colOff>
                    <xdr:row>25</xdr:row>
                    <xdr:rowOff>106680</xdr:rowOff>
                  </to>
                </anchor>
              </controlPr>
            </control>
          </mc:Choice>
        </mc:AlternateContent>
        <mc:AlternateContent xmlns:mc="http://schemas.openxmlformats.org/markup-compatibility/2006">
          <mc:Choice Requires="x14">
            <control shapeId="1077" r:id="rId11" name="Check Box 53">
              <controlPr defaultSize="0" autoFill="0" autoLine="0" autoPict="0">
                <anchor moveWithCells="1">
                  <from>
                    <xdr:col>14</xdr:col>
                    <xdr:colOff>83820</xdr:colOff>
                    <xdr:row>24</xdr:row>
                    <xdr:rowOff>68580</xdr:rowOff>
                  </from>
                  <to>
                    <xdr:col>14</xdr:col>
                    <xdr:colOff>449580</xdr:colOff>
                    <xdr:row>26</xdr:row>
                    <xdr:rowOff>106680</xdr:rowOff>
                  </to>
                </anchor>
              </controlPr>
            </control>
          </mc:Choice>
        </mc:AlternateContent>
        <mc:AlternateContent xmlns:mc="http://schemas.openxmlformats.org/markup-compatibility/2006">
          <mc:Choice Requires="x14">
            <control shapeId="1078" r:id="rId12" name="Check Box 54">
              <controlPr defaultSize="0" autoFill="0" autoLine="0" autoPict="0">
                <anchor moveWithCells="1">
                  <from>
                    <xdr:col>14</xdr:col>
                    <xdr:colOff>83820</xdr:colOff>
                    <xdr:row>25</xdr:row>
                    <xdr:rowOff>68580</xdr:rowOff>
                  </from>
                  <to>
                    <xdr:col>14</xdr:col>
                    <xdr:colOff>449580</xdr:colOff>
                    <xdr:row>27</xdr:row>
                    <xdr:rowOff>106680</xdr:rowOff>
                  </to>
                </anchor>
              </controlPr>
            </control>
          </mc:Choice>
        </mc:AlternateContent>
        <mc:AlternateContent xmlns:mc="http://schemas.openxmlformats.org/markup-compatibility/2006">
          <mc:Choice Requires="x14">
            <control shapeId="1079" r:id="rId13" name="Check Box 55">
              <controlPr defaultSize="0" autoFill="0" autoLine="0" autoPict="0">
                <anchor moveWithCells="1">
                  <from>
                    <xdr:col>14</xdr:col>
                    <xdr:colOff>83820</xdr:colOff>
                    <xdr:row>26</xdr:row>
                    <xdr:rowOff>68580</xdr:rowOff>
                  </from>
                  <to>
                    <xdr:col>14</xdr:col>
                    <xdr:colOff>449580</xdr:colOff>
                    <xdr:row>28</xdr:row>
                    <xdr:rowOff>83820</xdr:rowOff>
                  </to>
                </anchor>
              </controlPr>
            </control>
          </mc:Choice>
        </mc:AlternateContent>
        <mc:AlternateContent xmlns:mc="http://schemas.openxmlformats.org/markup-compatibility/2006">
          <mc:Choice Requires="x14">
            <control shapeId="1080" r:id="rId14" name="Check Box 56">
              <controlPr defaultSize="0" autoFill="0" autoLine="0" autoPict="0">
                <anchor moveWithCells="1">
                  <from>
                    <xdr:col>14</xdr:col>
                    <xdr:colOff>83820</xdr:colOff>
                    <xdr:row>27</xdr:row>
                    <xdr:rowOff>68580</xdr:rowOff>
                  </from>
                  <to>
                    <xdr:col>14</xdr:col>
                    <xdr:colOff>449580</xdr:colOff>
                    <xdr:row>29</xdr:row>
                    <xdr:rowOff>106680</xdr:rowOff>
                  </to>
                </anchor>
              </controlPr>
            </control>
          </mc:Choice>
        </mc:AlternateContent>
        <mc:AlternateContent xmlns:mc="http://schemas.openxmlformats.org/markup-compatibility/2006">
          <mc:Choice Requires="x14">
            <control shapeId="1081" r:id="rId15" name="Check Box 57">
              <controlPr defaultSize="0" autoFill="0" autoLine="0" autoPict="0">
                <anchor moveWithCells="1">
                  <from>
                    <xdr:col>14</xdr:col>
                    <xdr:colOff>83820</xdr:colOff>
                    <xdr:row>28</xdr:row>
                    <xdr:rowOff>68580</xdr:rowOff>
                  </from>
                  <to>
                    <xdr:col>14</xdr:col>
                    <xdr:colOff>449580</xdr:colOff>
                    <xdr:row>30</xdr:row>
                    <xdr:rowOff>106680</xdr:rowOff>
                  </to>
                </anchor>
              </controlPr>
            </control>
          </mc:Choice>
        </mc:AlternateContent>
        <mc:AlternateContent xmlns:mc="http://schemas.openxmlformats.org/markup-compatibility/2006">
          <mc:Choice Requires="x14">
            <control shapeId="1082" r:id="rId16" name="Check Box 58">
              <controlPr defaultSize="0" autoFill="0" autoLine="0" autoPict="0">
                <anchor moveWithCells="1">
                  <from>
                    <xdr:col>14</xdr:col>
                    <xdr:colOff>83820</xdr:colOff>
                    <xdr:row>29</xdr:row>
                    <xdr:rowOff>68580</xdr:rowOff>
                  </from>
                  <to>
                    <xdr:col>14</xdr:col>
                    <xdr:colOff>449580</xdr:colOff>
                    <xdr:row>31</xdr:row>
                    <xdr:rowOff>106680</xdr:rowOff>
                  </to>
                </anchor>
              </controlPr>
            </control>
          </mc:Choice>
        </mc:AlternateContent>
        <mc:AlternateContent xmlns:mc="http://schemas.openxmlformats.org/markup-compatibility/2006">
          <mc:Choice Requires="x14">
            <control shapeId="1084" r:id="rId17" name="Check Box 60">
              <controlPr defaultSize="0" autoFill="0" autoLine="0" autoPict="0">
                <anchor moveWithCells="1">
                  <from>
                    <xdr:col>14</xdr:col>
                    <xdr:colOff>83820</xdr:colOff>
                    <xdr:row>30</xdr:row>
                    <xdr:rowOff>68580</xdr:rowOff>
                  </from>
                  <to>
                    <xdr:col>14</xdr:col>
                    <xdr:colOff>449580</xdr:colOff>
                    <xdr:row>32</xdr:row>
                    <xdr:rowOff>106680</xdr:rowOff>
                  </to>
                </anchor>
              </controlPr>
            </control>
          </mc:Choice>
        </mc:AlternateContent>
        <mc:AlternateContent xmlns:mc="http://schemas.openxmlformats.org/markup-compatibility/2006">
          <mc:Choice Requires="x14">
            <control shapeId="1085" r:id="rId18" name="Check Box 61">
              <controlPr defaultSize="0" autoFill="0" autoLine="0" autoPict="0">
                <anchor moveWithCells="1">
                  <from>
                    <xdr:col>14</xdr:col>
                    <xdr:colOff>83820</xdr:colOff>
                    <xdr:row>30</xdr:row>
                    <xdr:rowOff>68580</xdr:rowOff>
                  </from>
                  <to>
                    <xdr:col>14</xdr:col>
                    <xdr:colOff>449580</xdr:colOff>
                    <xdr:row>32</xdr:row>
                    <xdr:rowOff>106680</xdr:rowOff>
                  </to>
                </anchor>
              </controlPr>
            </control>
          </mc:Choice>
        </mc:AlternateContent>
        <mc:AlternateContent xmlns:mc="http://schemas.openxmlformats.org/markup-compatibility/2006">
          <mc:Choice Requires="x14">
            <control shapeId="1086" r:id="rId19" name="Check Box 62">
              <controlPr defaultSize="0" autoFill="0" autoLine="0" autoPict="0">
                <anchor moveWithCells="1">
                  <from>
                    <xdr:col>14</xdr:col>
                    <xdr:colOff>83820</xdr:colOff>
                    <xdr:row>34</xdr:row>
                    <xdr:rowOff>68580</xdr:rowOff>
                  </from>
                  <to>
                    <xdr:col>14</xdr:col>
                    <xdr:colOff>449580</xdr:colOff>
                    <xdr:row>36</xdr:row>
                    <xdr:rowOff>106680</xdr:rowOff>
                  </to>
                </anchor>
              </controlPr>
            </control>
          </mc:Choice>
        </mc:AlternateContent>
        <mc:AlternateContent xmlns:mc="http://schemas.openxmlformats.org/markup-compatibility/2006">
          <mc:Choice Requires="x14">
            <control shapeId="1090" r:id="rId20" name="Check Box 66">
              <controlPr defaultSize="0" autoFill="0" autoLine="0" autoPict="0">
                <anchor moveWithCells="1">
                  <from>
                    <xdr:col>14</xdr:col>
                    <xdr:colOff>76200</xdr:colOff>
                    <xdr:row>38</xdr:row>
                    <xdr:rowOff>121920</xdr:rowOff>
                  </from>
                  <to>
                    <xdr:col>14</xdr:col>
                    <xdr:colOff>297180</xdr:colOff>
                    <xdr:row>40</xdr:row>
                    <xdr:rowOff>7620</xdr:rowOff>
                  </to>
                </anchor>
              </controlPr>
            </control>
          </mc:Choice>
        </mc:AlternateContent>
        <mc:AlternateContent xmlns:mc="http://schemas.openxmlformats.org/markup-compatibility/2006">
          <mc:Choice Requires="x14">
            <control shapeId="1094" r:id="rId21" name="Check Box 70">
              <controlPr defaultSize="0" autoFill="0" autoLine="0" autoPict="0">
                <anchor moveWithCells="1">
                  <from>
                    <xdr:col>14</xdr:col>
                    <xdr:colOff>76200</xdr:colOff>
                    <xdr:row>37</xdr:row>
                    <xdr:rowOff>160020</xdr:rowOff>
                  </from>
                  <to>
                    <xdr:col>14</xdr:col>
                    <xdr:colOff>297180</xdr:colOff>
                    <xdr:row>39</xdr:row>
                    <xdr:rowOff>7620</xdr:rowOff>
                  </to>
                </anchor>
              </controlPr>
            </control>
          </mc:Choice>
        </mc:AlternateContent>
        <mc:AlternateContent xmlns:mc="http://schemas.openxmlformats.org/markup-compatibility/2006">
          <mc:Choice Requires="x14">
            <control shapeId="1095" r:id="rId22" name="Check Box 71">
              <controlPr defaultSize="0" autoFill="0" autoLine="0" autoPict="0">
                <anchor moveWithCells="1">
                  <from>
                    <xdr:col>14</xdr:col>
                    <xdr:colOff>76200</xdr:colOff>
                    <xdr:row>39</xdr:row>
                    <xdr:rowOff>121920</xdr:rowOff>
                  </from>
                  <to>
                    <xdr:col>14</xdr:col>
                    <xdr:colOff>297180</xdr:colOff>
                    <xdr:row>41</xdr:row>
                    <xdr:rowOff>7620</xdr:rowOff>
                  </to>
                </anchor>
              </controlPr>
            </control>
          </mc:Choice>
        </mc:AlternateContent>
        <mc:AlternateContent xmlns:mc="http://schemas.openxmlformats.org/markup-compatibility/2006">
          <mc:Choice Requires="x14">
            <control shapeId="1096" r:id="rId23" name="Check Box 72">
              <controlPr defaultSize="0" autoFill="0" autoLine="0" autoPict="0">
                <anchor moveWithCells="1">
                  <from>
                    <xdr:col>14</xdr:col>
                    <xdr:colOff>76200</xdr:colOff>
                    <xdr:row>40</xdr:row>
                    <xdr:rowOff>144780</xdr:rowOff>
                  </from>
                  <to>
                    <xdr:col>14</xdr:col>
                    <xdr:colOff>297180</xdr:colOff>
                    <xdr:row>42</xdr:row>
                    <xdr:rowOff>7620</xdr:rowOff>
                  </to>
                </anchor>
              </controlPr>
            </control>
          </mc:Choice>
        </mc:AlternateContent>
        <mc:AlternateContent xmlns:mc="http://schemas.openxmlformats.org/markup-compatibility/2006">
          <mc:Choice Requires="x14">
            <control shapeId="1097" r:id="rId24" name="Check Box 73">
              <controlPr defaultSize="0" autoFill="0" autoLine="0" autoPict="0">
                <anchor moveWithCells="1">
                  <from>
                    <xdr:col>14</xdr:col>
                    <xdr:colOff>76200</xdr:colOff>
                    <xdr:row>41</xdr:row>
                    <xdr:rowOff>144780</xdr:rowOff>
                  </from>
                  <to>
                    <xdr:col>14</xdr:col>
                    <xdr:colOff>297180</xdr:colOff>
                    <xdr:row>43</xdr:row>
                    <xdr:rowOff>7620</xdr:rowOff>
                  </to>
                </anchor>
              </controlPr>
            </control>
          </mc:Choice>
        </mc:AlternateContent>
        <mc:AlternateContent xmlns:mc="http://schemas.openxmlformats.org/markup-compatibility/2006">
          <mc:Choice Requires="x14">
            <control shapeId="1098" r:id="rId25" name="Check Box 74">
              <controlPr defaultSize="0" autoFill="0" autoLine="0" autoPict="0">
                <anchor moveWithCells="1">
                  <from>
                    <xdr:col>14</xdr:col>
                    <xdr:colOff>76200</xdr:colOff>
                    <xdr:row>42</xdr:row>
                    <xdr:rowOff>121920</xdr:rowOff>
                  </from>
                  <to>
                    <xdr:col>14</xdr:col>
                    <xdr:colOff>297180</xdr:colOff>
                    <xdr:row>44</xdr:row>
                    <xdr:rowOff>7620</xdr:rowOff>
                  </to>
                </anchor>
              </controlPr>
            </control>
          </mc:Choice>
        </mc:AlternateContent>
        <mc:AlternateContent xmlns:mc="http://schemas.openxmlformats.org/markup-compatibility/2006">
          <mc:Choice Requires="x14">
            <control shapeId="1099" r:id="rId26" name="Check Box 75">
              <controlPr defaultSize="0" autoFill="0" autoLine="0" autoPict="0">
                <anchor moveWithCells="1">
                  <from>
                    <xdr:col>14</xdr:col>
                    <xdr:colOff>76200</xdr:colOff>
                    <xdr:row>43</xdr:row>
                    <xdr:rowOff>144780</xdr:rowOff>
                  </from>
                  <to>
                    <xdr:col>14</xdr:col>
                    <xdr:colOff>297180</xdr:colOff>
                    <xdr:row>45</xdr:row>
                    <xdr:rowOff>7620</xdr:rowOff>
                  </to>
                </anchor>
              </controlPr>
            </control>
          </mc:Choice>
        </mc:AlternateContent>
        <mc:AlternateContent xmlns:mc="http://schemas.openxmlformats.org/markup-compatibility/2006">
          <mc:Choice Requires="x14">
            <control shapeId="1100" r:id="rId27" name="Check Box 76">
              <controlPr defaultSize="0" autoFill="0" autoLine="0" autoPict="0">
                <anchor moveWithCells="1">
                  <from>
                    <xdr:col>14</xdr:col>
                    <xdr:colOff>76200</xdr:colOff>
                    <xdr:row>44</xdr:row>
                    <xdr:rowOff>144780</xdr:rowOff>
                  </from>
                  <to>
                    <xdr:col>14</xdr:col>
                    <xdr:colOff>297180</xdr:colOff>
                    <xdr:row>46</xdr:row>
                    <xdr:rowOff>7620</xdr:rowOff>
                  </to>
                </anchor>
              </controlPr>
            </control>
          </mc:Choice>
        </mc:AlternateContent>
        <mc:AlternateContent xmlns:mc="http://schemas.openxmlformats.org/markup-compatibility/2006">
          <mc:Choice Requires="x14">
            <control shapeId="1101" r:id="rId28" name="Check Box 77">
              <controlPr defaultSize="0" autoFill="0" autoLine="0" autoPict="0">
                <anchor moveWithCells="1">
                  <from>
                    <xdr:col>14</xdr:col>
                    <xdr:colOff>76200</xdr:colOff>
                    <xdr:row>45</xdr:row>
                    <xdr:rowOff>144780</xdr:rowOff>
                  </from>
                  <to>
                    <xdr:col>14</xdr:col>
                    <xdr:colOff>297180</xdr:colOff>
                    <xdr:row>47</xdr:row>
                    <xdr:rowOff>7620</xdr:rowOff>
                  </to>
                </anchor>
              </controlPr>
            </control>
          </mc:Choice>
        </mc:AlternateContent>
        <mc:AlternateContent xmlns:mc="http://schemas.openxmlformats.org/markup-compatibility/2006">
          <mc:Choice Requires="x14">
            <control shapeId="1102" r:id="rId29" name="Check Box 78">
              <controlPr defaultSize="0" autoFill="0" autoLine="0" autoPict="0">
                <anchor moveWithCells="1">
                  <from>
                    <xdr:col>14</xdr:col>
                    <xdr:colOff>76200</xdr:colOff>
                    <xdr:row>46</xdr:row>
                    <xdr:rowOff>144780</xdr:rowOff>
                  </from>
                  <to>
                    <xdr:col>14</xdr:col>
                    <xdr:colOff>297180</xdr:colOff>
                    <xdr:row>48</xdr:row>
                    <xdr:rowOff>38100</xdr:rowOff>
                  </to>
                </anchor>
              </controlPr>
            </control>
          </mc:Choice>
        </mc:AlternateContent>
        <mc:AlternateContent xmlns:mc="http://schemas.openxmlformats.org/markup-compatibility/2006">
          <mc:Choice Requires="x14">
            <control shapeId="1103" r:id="rId30" name="Check Box 79">
              <controlPr defaultSize="0" autoFill="0" autoLine="0" autoPict="0">
                <anchor moveWithCells="1">
                  <from>
                    <xdr:col>14</xdr:col>
                    <xdr:colOff>76200</xdr:colOff>
                    <xdr:row>47</xdr:row>
                    <xdr:rowOff>144780</xdr:rowOff>
                  </from>
                  <to>
                    <xdr:col>14</xdr:col>
                    <xdr:colOff>297180</xdr:colOff>
                    <xdr:row>49</xdr:row>
                    <xdr:rowOff>7620</xdr:rowOff>
                  </to>
                </anchor>
              </controlPr>
            </control>
          </mc:Choice>
        </mc:AlternateContent>
        <mc:AlternateContent xmlns:mc="http://schemas.openxmlformats.org/markup-compatibility/2006">
          <mc:Choice Requires="x14">
            <control shapeId="1104" r:id="rId31" name="Check Box 80">
              <controlPr defaultSize="0" autoFill="0" autoLine="0" autoPict="0">
                <anchor moveWithCells="1">
                  <from>
                    <xdr:col>14</xdr:col>
                    <xdr:colOff>76200</xdr:colOff>
                    <xdr:row>32</xdr:row>
                    <xdr:rowOff>0</xdr:rowOff>
                  </from>
                  <to>
                    <xdr:col>14</xdr:col>
                    <xdr:colOff>297180</xdr:colOff>
                    <xdr:row>33</xdr:row>
                    <xdr:rowOff>45720</xdr:rowOff>
                  </to>
                </anchor>
              </controlPr>
            </control>
          </mc:Choice>
        </mc:AlternateContent>
        <mc:AlternateContent xmlns:mc="http://schemas.openxmlformats.org/markup-compatibility/2006">
          <mc:Choice Requires="x14">
            <control shapeId="1105" r:id="rId32" name="Check Box 81">
              <controlPr defaultSize="0" autoFill="0" autoLine="0" autoPict="0">
                <anchor moveWithCells="1">
                  <from>
                    <xdr:col>14</xdr:col>
                    <xdr:colOff>76200</xdr:colOff>
                    <xdr:row>30</xdr:row>
                    <xdr:rowOff>144780</xdr:rowOff>
                  </from>
                  <to>
                    <xdr:col>14</xdr:col>
                    <xdr:colOff>297180</xdr:colOff>
                    <xdr:row>32</xdr:row>
                    <xdr:rowOff>7620</xdr:rowOff>
                  </to>
                </anchor>
              </controlPr>
            </control>
          </mc:Choice>
        </mc:AlternateContent>
        <mc:AlternateContent xmlns:mc="http://schemas.openxmlformats.org/markup-compatibility/2006">
          <mc:Choice Requires="x14">
            <control shapeId="1106" r:id="rId33" name="Check Box 82">
              <controlPr defaultSize="0" autoFill="0" autoLine="0" autoPict="0">
                <anchor moveWithCells="1">
                  <from>
                    <xdr:col>14</xdr:col>
                    <xdr:colOff>76200</xdr:colOff>
                    <xdr:row>49</xdr:row>
                    <xdr:rowOff>121920</xdr:rowOff>
                  </from>
                  <to>
                    <xdr:col>14</xdr:col>
                    <xdr:colOff>297180</xdr:colOff>
                    <xdr:row>51</xdr:row>
                    <xdr:rowOff>7620</xdr:rowOff>
                  </to>
                </anchor>
              </controlPr>
            </control>
          </mc:Choice>
        </mc:AlternateContent>
        <mc:AlternateContent xmlns:mc="http://schemas.openxmlformats.org/markup-compatibility/2006">
          <mc:Choice Requires="x14">
            <control shapeId="1111" r:id="rId34" name="Check Box 87">
              <controlPr defaultSize="0" autoFill="0" autoLine="0" autoPict="0">
                <anchor moveWithCells="1">
                  <from>
                    <xdr:col>14</xdr:col>
                    <xdr:colOff>83820</xdr:colOff>
                    <xdr:row>53</xdr:row>
                    <xdr:rowOff>304800</xdr:rowOff>
                  </from>
                  <to>
                    <xdr:col>14</xdr:col>
                    <xdr:colOff>297180</xdr:colOff>
                    <xdr:row>55</xdr:row>
                    <xdr:rowOff>38100</xdr:rowOff>
                  </to>
                </anchor>
              </controlPr>
            </control>
          </mc:Choice>
        </mc:AlternateContent>
        <mc:AlternateContent xmlns:mc="http://schemas.openxmlformats.org/markup-compatibility/2006">
          <mc:Choice Requires="x14">
            <control shapeId="1112" r:id="rId35" name="Check Box 88">
              <controlPr defaultSize="0" autoFill="0" autoLine="0" autoPict="0">
                <anchor moveWithCells="1">
                  <from>
                    <xdr:col>14</xdr:col>
                    <xdr:colOff>83820</xdr:colOff>
                    <xdr:row>55</xdr:row>
                    <xdr:rowOff>144780</xdr:rowOff>
                  </from>
                  <to>
                    <xdr:col>14</xdr:col>
                    <xdr:colOff>297180</xdr:colOff>
                    <xdr:row>57</xdr:row>
                    <xdr:rowOff>7620</xdr:rowOff>
                  </to>
                </anchor>
              </controlPr>
            </control>
          </mc:Choice>
        </mc:AlternateContent>
        <mc:AlternateContent xmlns:mc="http://schemas.openxmlformats.org/markup-compatibility/2006">
          <mc:Choice Requires="x14">
            <control shapeId="1113" r:id="rId36" name="Check Box 89">
              <controlPr defaultSize="0" autoFill="0" autoLine="0" autoPict="0">
                <anchor moveWithCells="1">
                  <from>
                    <xdr:col>14</xdr:col>
                    <xdr:colOff>83820</xdr:colOff>
                    <xdr:row>56</xdr:row>
                    <xdr:rowOff>144780</xdr:rowOff>
                  </from>
                  <to>
                    <xdr:col>14</xdr:col>
                    <xdr:colOff>297180</xdr:colOff>
                    <xdr:row>58</xdr:row>
                    <xdr:rowOff>30480</xdr:rowOff>
                  </to>
                </anchor>
              </controlPr>
            </control>
          </mc:Choice>
        </mc:AlternateContent>
        <mc:AlternateContent xmlns:mc="http://schemas.openxmlformats.org/markup-compatibility/2006">
          <mc:Choice Requires="x14">
            <control shapeId="1114" r:id="rId37" name="Check Box 90">
              <controlPr defaultSize="0" autoFill="0" autoLine="0" autoPict="0">
                <anchor moveWithCells="1">
                  <from>
                    <xdr:col>14</xdr:col>
                    <xdr:colOff>83820</xdr:colOff>
                    <xdr:row>57</xdr:row>
                    <xdr:rowOff>144780</xdr:rowOff>
                  </from>
                  <to>
                    <xdr:col>14</xdr:col>
                    <xdr:colOff>297180</xdr:colOff>
                    <xdr:row>59</xdr:row>
                    <xdr:rowOff>7620</xdr:rowOff>
                  </to>
                </anchor>
              </controlPr>
            </control>
          </mc:Choice>
        </mc:AlternateContent>
        <mc:AlternateContent xmlns:mc="http://schemas.openxmlformats.org/markup-compatibility/2006">
          <mc:Choice Requires="x14">
            <control shapeId="1115" r:id="rId38" name="Check Box 91">
              <controlPr defaultSize="0" autoFill="0" autoLine="0" autoPict="0">
                <anchor moveWithCells="1">
                  <from>
                    <xdr:col>14</xdr:col>
                    <xdr:colOff>83820</xdr:colOff>
                    <xdr:row>59</xdr:row>
                    <xdr:rowOff>160020</xdr:rowOff>
                  </from>
                  <to>
                    <xdr:col>14</xdr:col>
                    <xdr:colOff>297180</xdr:colOff>
                    <xdr:row>61</xdr:row>
                    <xdr:rowOff>68580</xdr:rowOff>
                  </to>
                </anchor>
              </controlPr>
            </control>
          </mc:Choice>
        </mc:AlternateContent>
        <mc:AlternateContent xmlns:mc="http://schemas.openxmlformats.org/markup-compatibility/2006">
          <mc:Choice Requires="x14">
            <control shapeId="1116" r:id="rId39" name="Check Box 92">
              <controlPr defaultSize="0" autoFill="0" autoLine="0" autoPict="0">
                <anchor moveWithCells="1">
                  <from>
                    <xdr:col>14</xdr:col>
                    <xdr:colOff>83820</xdr:colOff>
                    <xdr:row>58</xdr:row>
                    <xdr:rowOff>144780</xdr:rowOff>
                  </from>
                  <to>
                    <xdr:col>14</xdr:col>
                    <xdr:colOff>297180</xdr:colOff>
                    <xdr:row>60</xdr:row>
                    <xdr:rowOff>7620</xdr:rowOff>
                  </to>
                </anchor>
              </controlPr>
            </control>
          </mc:Choice>
        </mc:AlternateContent>
        <mc:AlternateContent xmlns:mc="http://schemas.openxmlformats.org/markup-compatibility/2006">
          <mc:Choice Requires="x14">
            <control shapeId="1131" r:id="rId40" name="Check Box 107">
              <controlPr defaultSize="0" autoFill="0" autoLine="0" autoPict="0">
                <anchor moveWithCells="1">
                  <from>
                    <xdr:col>14</xdr:col>
                    <xdr:colOff>106680</xdr:colOff>
                    <xdr:row>61</xdr:row>
                    <xdr:rowOff>297180</xdr:rowOff>
                  </from>
                  <to>
                    <xdr:col>14</xdr:col>
                    <xdr:colOff>312420</xdr:colOff>
                    <xdr:row>63</xdr:row>
                    <xdr:rowOff>30480</xdr:rowOff>
                  </to>
                </anchor>
              </controlPr>
            </control>
          </mc:Choice>
        </mc:AlternateContent>
        <mc:AlternateContent xmlns:mc="http://schemas.openxmlformats.org/markup-compatibility/2006">
          <mc:Choice Requires="x14">
            <control shapeId="1132" r:id="rId41" name="Check Box 108">
              <controlPr defaultSize="0" autoFill="0" autoLine="0" autoPict="0">
                <anchor moveWithCells="1">
                  <from>
                    <xdr:col>14</xdr:col>
                    <xdr:colOff>106680</xdr:colOff>
                    <xdr:row>62</xdr:row>
                    <xdr:rowOff>144780</xdr:rowOff>
                  </from>
                  <to>
                    <xdr:col>14</xdr:col>
                    <xdr:colOff>312420</xdr:colOff>
                    <xdr:row>64</xdr:row>
                    <xdr:rowOff>7620</xdr:rowOff>
                  </to>
                </anchor>
              </controlPr>
            </control>
          </mc:Choice>
        </mc:AlternateContent>
        <mc:AlternateContent xmlns:mc="http://schemas.openxmlformats.org/markup-compatibility/2006">
          <mc:Choice Requires="x14">
            <control shapeId="1133" r:id="rId42" name="Check Box 109">
              <controlPr defaultSize="0" autoFill="0" autoLine="0" autoPict="0">
                <anchor moveWithCells="1">
                  <from>
                    <xdr:col>14</xdr:col>
                    <xdr:colOff>106680</xdr:colOff>
                    <xdr:row>63</xdr:row>
                    <xdr:rowOff>144780</xdr:rowOff>
                  </from>
                  <to>
                    <xdr:col>14</xdr:col>
                    <xdr:colOff>312420</xdr:colOff>
                    <xdr:row>65</xdr:row>
                    <xdr:rowOff>30480</xdr:rowOff>
                  </to>
                </anchor>
              </controlPr>
            </control>
          </mc:Choice>
        </mc:AlternateContent>
        <mc:AlternateContent xmlns:mc="http://schemas.openxmlformats.org/markup-compatibility/2006">
          <mc:Choice Requires="x14">
            <control shapeId="1134" r:id="rId43" name="Check Box 110">
              <controlPr defaultSize="0" autoFill="0" autoLine="0" autoPict="0">
                <anchor moveWithCells="1">
                  <from>
                    <xdr:col>14</xdr:col>
                    <xdr:colOff>106680</xdr:colOff>
                    <xdr:row>64</xdr:row>
                    <xdr:rowOff>144780</xdr:rowOff>
                  </from>
                  <to>
                    <xdr:col>14</xdr:col>
                    <xdr:colOff>312420</xdr:colOff>
                    <xdr:row>66</xdr:row>
                    <xdr:rowOff>7620</xdr:rowOff>
                  </to>
                </anchor>
              </controlPr>
            </control>
          </mc:Choice>
        </mc:AlternateContent>
        <mc:AlternateContent xmlns:mc="http://schemas.openxmlformats.org/markup-compatibility/2006">
          <mc:Choice Requires="x14">
            <control shapeId="1135" r:id="rId44" name="Check Box 111">
              <controlPr defaultSize="0" autoFill="0" autoLine="0" autoPict="0">
                <anchor moveWithCells="1">
                  <from>
                    <xdr:col>14</xdr:col>
                    <xdr:colOff>106680</xdr:colOff>
                    <xdr:row>66</xdr:row>
                    <xdr:rowOff>144780</xdr:rowOff>
                  </from>
                  <to>
                    <xdr:col>14</xdr:col>
                    <xdr:colOff>312420</xdr:colOff>
                    <xdr:row>68</xdr:row>
                    <xdr:rowOff>30480</xdr:rowOff>
                  </to>
                </anchor>
              </controlPr>
            </control>
          </mc:Choice>
        </mc:AlternateContent>
        <mc:AlternateContent xmlns:mc="http://schemas.openxmlformats.org/markup-compatibility/2006">
          <mc:Choice Requires="x14">
            <control shapeId="1136" r:id="rId45" name="Check Box 112">
              <controlPr defaultSize="0" autoFill="0" autoLine="0" autoPict="0">
                <anchor moveWithCells="1">
                  <from>
                    <xdr:col>14</xdr:col>
                    <xdr:colOff>106680</xdr:colOff>
                    <xdr:row>65</xdr:row>
                    <xdr:rowOff>144780</xdr:rowOff>
                  </from>
                  <to>
                    <xdr:col>14</xdr:col>
                    <xdr:colOff>312420</xdr:colOff>
                    <xdr:row>67</xdr:row>
                    <xdr:rowOff>7620</xdr:rowOff>
                  </to>
                </anchor>
              </controlPr>
            </control>
          </mc:Choice>
        </mc:AlternateContent>
        <mc:AlternateContent xmlns:mc="http://schemas.openxmlformats.org/markup-compatibility/2006">
          <mc:Choice Requires="x14">
            <control shapeId="1137" r:id="rId46" name="Check Box 113">
              <controlPr defaultSize="0" autoFill="0" autoLine="0" autoPict="0">
                <anchor moveWithCells="1">
                  <from>
                    <xdr:col>14</xdr:col>
                    <xdr:colOff>106680</xdr:colOff>
                    <xdr:row>67</xdr:row>
                    <xdr:rowOff>144780</xdr:rowOff>
                  </from>
                  <to>
                    <xdr:col>14</xdr:col>
                    <xdr:colOff>312420</xdr:colOff>
                    <xdr:row>69</xdr:row>
                    <xdr:rowOff>7620</xdr:rowOff>
                  </to>
                </anchor>
              </controlPr>
            </control>
          </mc:Choice>
        </mc:AlternateContent>
        <mc:AlternateContent xmlns:mc="http://schemas.openxmlformats.org/markup-compatibility/2006">
          <mc:Choice Requires="x14">
            <control shapeId="1138" r:id="rId47" name="Check Box 114">
              <controlPr defaultSize="0" autoFill="0" autoLine="0" autoPict="0">
                <anchor moveWithCells="1">
                  <from>
                    <xdr:col>14</xdr:col>
                    <xdr:colOff>106680</xdr:colOff>
                    <xdr:row>68</xdr:row>
                    <xdr:rowOff>144780</xdr:rowOff>
                  </from>
                  <to>
                    <xdr:col>14</xdr:col>
                    <xdr:colOff>312420</xdr:colOff>
                    <xdr:row>70</xdr:row>
                    <xdr:rowOff>7620</xdr:rowOff>
                  </to>
                </anchor>
              </controlPr>
            </control>
          </mc:Choice>
        </mc:AlternateContent>
        <mc:AlternateContent xmlns:mc="http://schemas.openxmlformats.org/markup-compatibility/2006">
          <mc:Choice Requires="x14">
            <control shapeId="1139" r:id="rId48" name="Check Box 115">
              <controlPr defaultSize="0" autoFill="0" autoLine="0" autoPict="0">
                <anchor moveWithCells="1">
                  <from>
                    <xdr:col>14</xdr:col>
                    <xdr:colOff>106680</xdr:colOff>
                    <xdr:row>69</xdr:row>
                    <xdr:rowOff>144780</xdr:rowOff>
                  </from>
                  <to>
                    <xdr:col>14</xdr:col>
                    <xdr:colOff>312420</xdr:colOff>
                    <xdr:row>71</xdr:row>
                    <xdr:rowOff>7620</xdr:rowOff>
                  </to>
                </anchor>
              </controlPr>
            </control>
          </mc:Choice>
        </mc:AlternateContent>
        <mc:AlternateContent xmlns:mc="http://schemas.openxmlformats.org/markup-compatibility/2006">
          <mc:Choice Requires="x14">
            <control shapeId="1140" r:id="rId49" name="Check Box 116">
              <controlPr defaultSize="0" autoFill="0" autoLine="0" autoPict="0">
                <anchor moveWithCells="1">
                  <from>
                    <xdr:col>14</xdr:col>
                    <xdr:colOff>106680</xdr:colOff>
                    <xdr:row>70</xdr:row>
                    <xdr:rowOff>121920</xdr:rowOff>
                  </from>
                  <to>
                    <xdr:col>14</xdr:col>
                    <xdr:colOff>312420</xdr:colOff>
                    <xdr:row>72</xdr:row>
                    <xdr:rowOff>7620</xdr:rowOff>
                  </to>
                </anchor>
              </controlPr>
            </control>
          </mc:Choice>
        </mc:AlternateContent>
        <mc:AlternateContent xmlns:mc="http://schemas.openxmlformats.org/markup-compatibility/2006">
          <mc:Choice Requires="x14">
            <control shapeId="1141" r:id="rId50" name="Check Box 117">
              <controlPr defaultSize="0" autoFill="0" autoLine="0" autoPict="0">
                <anchor moveWithCells="1">
                  <from>
                    <xdr:col>14</xdr:col>
                    <xdr:colOff>106680</xdr:colOff>
                    <xdr:row>72</xdr:row>
                    <xdr:rowOff>144780</xdr:rowOff>
                  </from>
                  <to>
                    <xdr:col>14</xdr:col>
                    <xdr:colOff>312420</xdr:colOff>
                    <xdr:row>74</xdr:row>
                    <xdr:rowOff>30480</xdr:rowOff>
                  </to>
                </anchor>
              </controlPr>
            </control>
          </mc:Choice>
        </mc:AlternateContent>
        <mc:AlternateContent xmlns:mc="http://schemas.openxmlformats.org/markup-compatibility/2006">
          <mc:Choice Requires="x14">
            <control shapeId="1142" r:id="rId51" name="Check Box 118">
              <controlPr defaultSize="0" autoFill="0" autoLine="0" autoPict="0">
                <anchor moveWithCells="1">
                  <from>
                    <xdr:col>14</xdr:col>
                    <xdr:colOff>106680</xdr:colOff>
                    <xdr:row>71</xdr:row>
                    <xdr:rowOff>121920</xdr:rowOff>
                  </from>
                  <to>
                    <xdr:col>14</xdr:col>
                    <xdr:colOff>312420</xdr:colOff>
                    <xdr:row>73</xdr:row>
                    <xdr:rowOff>7620</xdr:rowOff>
                  </to>
                </anchor>
              </controlPr>
            </control>
          </mc:Choice>
        </mc:AlternateContent>
        <mc:AlternateContent xmlns:mc="http://schemas.openxmlformats.org/markup-compatibility/2006">
          <mc:Choice Requires="x14">
            <control shapeId="1143" r:id="rId52" name="Check Box 119">
              <controlPr defaultSize="0" autoFill="0" autoLine="0" autoPict="0">
                <anchor moveWithCells="1">
                  <from>
                    <xdr:col>14</xdr:col>
                    <xdr:colOff>106680</xdr:colOff>
                    <xdr:row>73</xdr:row>
                    <xdr:rowOff>144780</xdr:rowOff>
                  </from>
                  <to>
                    <xdr:col>14</xdr:col>
                    <xdr:colOff>312420</xdr:colOff>
                    <xdr:row>75</xdr:row>
                    <xdr:rowOff>30480</xdr:rowOff>
                  </to>
                </anchor>
              </controlPr>
            </control>
          </mc:Choice>
        </mc:AlternateContent>
        <mc:AlternateContent xmlns:mc="http://schemas.openxmlformats.org/markup-compatibility/2006">
          <mc:Choice Requires="x14">
            <control shapeId="1144" r:id="rId53" name="Check Box 120">
              <controlPr defaultSize="0" autoFill="0" autoLine="0" autoPict="0">
                <anchor moveWithCells="1">
                  <from>
                    <xdr:col>14</xdr:col>
                    <xdr:colOff>106680</xdr:colOff>
                    <xdr:row>74</xdr:row>
                    <xdr:rowOff>144780</xdr:rowOff>
                  </from>
                  <to>
                    <xdr:col>14</xdr:col>
                    <xdr:colOff>312420</xdr:colOff>
                    <xdr:row>76</xdr:row>
                    <xdr:rowOff>7620</xdr:rowOff>
                  </to>
                </anchor>
              </controlPr>
            </control>
          </mc:Choice>
        </mc:AlternateContent>
        <mc:AlternateContent xmlns:mc="http://schemas.openxmlformats.org/markup-compatibility/2006">
          <mc:Choice Requires="x14">
            <control shapeId="1145" r:id="rId54" name="Check Box 121">
              <controlPr defaultSize="0" autoFill="0" autoLine="0" autoPict="0">
                <anchor moveWithCells="1">
                  <from>
                    <xdr:col>14</xdr:col>
                    <xdr:colOff>106680</xdr:colOff>
                    <xdr:row>75</xdr:row>
                    <xdr:rowOff>144780</xdr:rowOff>
                  </from>
                  <to>
                    <xdr:col>14</xdr:col>
                    <xdr:colOff>312420</xdr:colOff>
                    <xdr:row>77</xdr:row>
                    <xdr:rowOff>30480</xdr:rowOff>
                  </to>
                </anchor>
              </controlPr>
            </control>
          </mc:Choice>
        </mc:AlternateContent>
        <mc:AlternateContent xmlns:mc="http://schemas.openxmlformats.org/markup-compatibility/2006">
          <mc:Choice Requires="x14">
            <control shapeId="1146" r:id="rId55" name="Check Box 122">
              <controlPr defaultSize="0" autoFill="0" autoLine="0" autoPict="0">
                <anchor moveWithCells="1">
                  <from>
                    <xdr:col>14</xdr:col>
                    <xdr:colOff>106680</xdr:colOff>
                    <xdr:row>76</xdr:row>
                    <xdr:rowOff>144780</xdr:rowOff>
                  </from>
                  <to>
                    <xdr:col>14</xdr:col>
                    <xdr:colOff>312420</xdr:colOff>
                    <xdr:row>78</xdr:row>
                    <xdr:rowOff>7620</xdr:rowOff>
                  </to>
                </anchor>
              </controlPr>
            </control>
          </mc:Choice>
        </mc:AlternateContent>
        <mc:AlternateContent xmlns:mc="http://schemas.openxmlformats.org/markup-compatibility/2006">
          <mc:Choice Requires="x14">
            <control shapeId="1149" r:id="rId56" name="Check Box 125">
              <controlPr defaultSize="0" autoFill="0" autoLine="0" autoPict="0">
                <anchor moveWithCells="1">
                  <from>
                    <xdr:col>14</xdr:col>
                    <xdr:colOff>83820</xdr:colOff>
                    <xdr:row>79</xdr:row>
                    <xdr:rowOff>297180</xdr:rowOff>
                  </from>
                  <to>
                    <xdr:col>14</xdr:col>
                    <xdr:colOff>297180</xdr:colOff>
                    <xdr:row>81</xdr:row>
                    <xdr:rowOff>7620</xdr:rowOff>
                  </to>
                </anchor>
              </controlPr>
            </control>
          </mc:Choice>
        </mc:AlternateContent>
        <mc:AlternateContent xmlns:mc="http://schemas.openxmlformats.org/markup-compatibility/2006">
          <mc:Choice Requires="x14">
            <control shapeId="1150" r:id="rId57" name="Check Box 126">
              <controlPr defaultSize="0" autoFill="0" autoLine="0" autoPict="0">
                <anchor moveWithCells="1">
                  <from>
                    <xdr:col>14</xdr:col>
                    <xdr:colOff>83820</xdr:colOff>
                    <xdr:row>80</xdr:row>
                    <xdr:rowOff>114300</xdr:rowOff>
                  </from>
                  <to>
                    <xdr:col>14</xdr:col>
                    <xdr:colOff>297180</xdr:colOff>
                    <xdr:row>82</xdr:row>
                    <xdr:rowOff>0</xdr:rowOff>
                  </to>
                </anchor>
              </controlPr>
            </control>
          </mc:Choice>
        </mc:AlternateContent>
        <mc:AlternateContent xmlns:mc="http://schemas.openxmlformats.org/markup-compatibility/2006">
          <mc:Choice Requires="x14">
            <control shapeId="1151" r:id="rId58" name="Check Box 127">
              <controlPr defaultSize="0" autoFill="0" autoLine="0" autoPict="0">
                <anchor moveWithCells="1">
                  <from>
                    <xdr:col>14</xdr:col>
                    <xdr:colOff>83820</xdr:colOff>
                    <xdr:row>81</xdr:row>
                    <xdr:rowOff>121920</xdr:rowOff>
                  </from>
                  <to>
                    <xdr:col>14</xdr:col>
                    <xdr:colOff>297180</xdr:colOff>
                    <xdr:row>83</xdr:row>
                    <xdr:rowOff>7620</xdr:rowOff>
                  </to>
                </anchor>
              </controlPr>
            </control>
          </mc:Choice>
        </mc:AlternateContent>
        <mc:AlternateContent xmlns:mc="http://schemas.openxmlformats.org/markup-compatibility/2006">
          <mc:Choice Requires="x14">
            <control shapeId="1152" r:id="rId59" name="Check Box 128">
              <controlPr defaultSize="0" autoFill="0" autoLine="0" autoPict="0">
                <anchor moveWithCells="1">
                  <from>
                    <xdr:col>14</xdr:col>
                    <xdr:colOff>83820</xdr:colOff>
                    <xdr:row>82</xdr:row>
                    <xdr:rowOff>114300</xdr:rowOff>
                  </from>
                  <to>
                    <xdr:col>14</xdr:col>
                    <xdr:colOff>297180</xdr:colOff>
                    <xdr:row>84</xdr:row>
                    <xdr:rowOff>0</xdr:rowOff>
                  </to>
                </anchor>
              </controlPr>
            </control>
          </mc:Choice>
        </mc:AlternateContent>
        <mc:AlternateContent xmlns:mc="http://schemas.openxmlformats.org/markup-compatibility/2006">
          <mc:Choice Requires="x14">
            <control shapeId="1153" r:id="rId60" name="Check Box 129">
              <controlPr defaultSize="0" autoFill="0" autoLine="0" autoPict="0">
                <anchor moveWithCells="1">
                  <from>
                    <xdr:col>14</xdr:col>
                    <xdr:colOff>83820</xdr:colOff>
                    <xdr:row>83</xdr:row>
                    <xdr:rowOff>144780</xdr:rowOff>
                  </from>
                  <to>
                    <xdr:col>14</xdr:col>
                    <xdr:colOff>297180</xdr:colOff>
                    <xdr:row>85</xdr:row>
                    <xdr:rowOff>30480</xdr:rowOff>
                  </to>
                </anchor>
              </controlPr>
            </control>
          </mc:Choice>
        </mc:AlternateContent>
        <mc:AlternateContent xmlns:mc="http://schemas.openxmlformats.org/markup-compatibility/2006">
          <mc:Choice Requires="x14">
            <control shapeId="1155" r:id="rId61" name="Check Box 131">
              <controlPr defaultSize="0" autoFill="0" autoLine="0" autoPict="0">
                <anchor moveWithCells="1">
                  <from>
                    <xdr:col>14</xdr:col>
                    <xdr:colOff>106680</xdr:colOff>
                    <xdr:row>84</xdr:row>
                    <xdr:rowOff>144780</xdr:rowOff>
                  </from>
                  <to>
                    <xdr:col>14</xdr:col>
                    <xdr:colOff>312420</xdr:colOff>
                    <xdr:row>86</xdr:row>
                    <xdr:rowOff>30480</xdr:rowOff>
                  </to>
                </anchor>
              </controlPr>
            </control>
          </mc:Choice>
        </mc:AlternateContent>
        <mc:AlternateContent xmlns:mc="http://schemas.openxmlformats.org/markup-compatibility/2006">
          <mc:Choice Requires="x14">
            <control shapeId="1156" r:id="rId62" name="Check Box 132">
              <controlPr defaultSize="0" autoFill="0" autoLine="0" autoPict="0">
                <anchor moveWithCells="1">
                  <from>
                    <xdr:col>14</xdr:col>
                    <xdr:colOff>106680</xdr:colOff>
                    <xdr:row>85</xdr:row>
                    <xdr:rowOff>144780</xdr:rowOff>
                  </from>
                  <to>
                    <xdr:col>14</xdr:col>
                    <xdr:colOff>312420</xdr:colOff>
                    <xdr:row>87</xdr:row>
                    <xdr:rowOff>7620</xdr:rowOff>
                  </to>
                </anchor>
              </controlPr>
            </control>
          </mc:Choice>
        </mc:AlternateContent>
        <mc:AlternateContent xmlns:mc="http://schemas.openxmlformats.org/markup-compatibility/2006">
          <mc:Choice Requires="x14">
            <control shapeId="1158" r:id="rId63" name="Check Box 134">
              <controlPr defaultSize="0" autoFill="0" autoLine="0" autoPict="0">
                <anchor moveWithCells="1">
                  <from>
                    <xdr:col>14</xdr:col>
                    <xdr:colOff>106680</xdr:colOff>
                    <xdr:row>86</xdr:row>
                    <xdr:rowOff>144780</xdr:rowOff>
                  </from>
                  <to>
                    <xdr:col>14</xdr:col>
                    <xdr:colOff>312420</xdr:colOff>
                    <xdr:row>88</xdr:row>
                    <xdr:rowOff>7620</xdr:rowOff>
                  </to>
                </anchor>
              </controlPr>
            </control>
          </mc:Choice>
        </mc:AlternateContent>
        <mc:AlternateContent xmlns:mc="http://schemas.openxmlformats.org/markup-compatibility/2006">
          <mc:Choice Requires="x14">
            <control shapeId="1161" r:id="rId64" name="Check Box 137">
              <controlPr defaultSize="0" autoFill="0" autoLine="0" autoPict="0">
                <anchor moveWithCells="1">
                  <from>
                    <xdr:col>14</xdr:col>
                    <xdr:colOff>83820</xdr:colOff>
                    <xdr:row>89</xdr:row>
                    <xdr:rowOff>160020</xdr:rowOff>
                  </from>
                  <to>
                    <xdr:col>14</xdr:col>
                    <xdr:colOff>297180</xdr:colOff>
                    <xdr:row>91</xdr:row>
                    <xdr:rowOff>22860</xdr:rowOff>
                  </to>
                </anchor>
              </controlPr>
            </control>
          </mc:Choice>
        </mc:AlternateContent>
        <mc:AlternateContent xmlns:mc="http://schemas.openxmlformats.org/markup-compatibility/2006">
          <mc:Choice Requires="x14">
            <control shapeId="1162" r:id="rId65" name="Check Box 138">
              <controlPr defaultSize="0" autoFill="0" autoLine="0" autoPict="0">
                <anchor moveWithCells="1">
                  <from>
                    <xdr:col>14</xdr:col>
                    <xdr:colOff>83820</xdr:colOff>
                    <xdr:row>90</xdr:row>
                    <xdr:rowOff>121920</xdr:rowOff>
                  </from>
                  <to>
                    <xdr:col>14</xdr:col>
                    <xdr:colOff>297180</xdr:colOff>
                    <xdr:row>92</xdr:row>
                    <xdr:rowOff>22860</xdr:rowOff>
                  </to>
                </anchor>
              </controlPr>
            </control>
          </mc:Choice>
        </mc:AlternateContent>
        <mc:AlternateContent xmlns:mc="http://schemas.openxmlformats.org/markup-compatibility/2006">
          <mc:Choice Requires="x14">
            <control shapeId="1165" r:id="rId66" name="Check Box 141">
              <controlPr defaultSize="0" autoFill="0" autoLine="0" autoPict="0">
                <anchor moveWithCells="1">
                  <from>
                    <xdr:col>14</xdr:col>
                    <xdr:colOff>83820</xdr:colOff>
                    <xdr:row>94</xdr:row>
                    <xdr:rowOff>144780</xdr:rowOff>
                  </from>
                  <to>
                    <xdr:col>14</xdr:col>
                    <xdr:colOff>304800</xdr:colOff>
                    <xdr:row>96</xdr:row>
                    <xdr:rowOff>30480</xdr:rowOff>
                  </to>
                </anchor>
              </controlPr>
            </control>
          </mc:Choice>
        </mc:AlternateContent>
        <mc:AlternateContent xmlns:mc="http://schemas.openxmlformats.org/markup-compatibility/2006">
          <mc:Choice Requires="x14">
            <control shapeId="1166" r:id="rId67" name="Check Box 142">
              <controlPr defaultSize="0" autoFill="0" autoLine="0" autoPict="0">
                <anchor moveWithCells="1">
                  <from>
                    <xdr:col>14</xdr:col>
                    <xdr:colOff>83820</xdr:colOff>
                    <xdr:row>93</xdr:row>
                    <xdr:rowOff>160020</xdr:rowOff>
                  </from>
                  <to>
                    <xdr:col>14</xdr:col>
                    <xdr:colOff>304800</xdr:colOff>
                    <xdr:row>95</xdr:row>
                    <xdr:rowOff>30480</xdr:rowOff>
                  </to>
                </anchor>
              </controlPr>
            </control>
          </mc:Choice>
        </mc:AlternateContent>
        <mc:AlternateContent xmlns:mc="http://schemas.openxmlformats.org/markup-compatibility/2006">
          <mc:Choice Requires="x14">
            <control shapeId="1167" r:id="rId68" name="Check Box 143">
              <controlPr defaultSize="0" autoFill="0" autoLine="0" autoPict="0">
                <anchor moveWithCells="1">
                  <from>
                    <xdr:col>14</xdr:col>
                    <xdr:colOff>106680</xdr:colOff>
                    <xdr:row>95</xdr:row>
                    <xdr:rowOff>144780</xdr:rowOff>
                  </from>
                  <to>
                    <xdr:col>14</xdr:col>
                    <xdr:colOff>312420</xdr:colOff>
                    <xdr:row>97</xdr:row>
                    <xdr:rowOff>30480</xdr:rowOff>
                  </to>
                </anchor>
              </controlPr>
            </control>
          </mc:Choice>
        </mc:AlternateContent>
        <mc:AlternateContent xmlns:mc="http://schemas.openxmlformats.org/markup-compatibility/2006">
          <mc:Choice Requires="x14">
            <control shapeId="1168" r:id="rId69" name="Check Box 144">
              <controlPr defaultSize="0" autoFill="0" autoLine="0" autoPict="0">
                <anchor moveWithCells="1">
                  <from>
                    <xdr:col>14</xdr:col>
                    <xdr:colOff>106680</xdr:colOff>
                    <xdr:row>96</xdr:row>
                    <xdr:rowOff>144780</xdr:rowOff>
                  </from>
                  <to>
                    <xdr:col>14</xdr:col>
                    <xdr:colOff>312420</xdr:colOff>
                    <xdr:row>98</xdr:row>
                    <xdr:rowOff>7620</xdr:rowOff>
                  </to>
                </anchor>
              </controlPr>
            </control>
          </mc:Choice>
        </mc:AlternateContent>
        <mc:AlternateContent xmlns:mc="http://schemas.openxmlformats.org/markup-compatibility/2006">
          <mc:Choice Requires="x14">
            <control shapeId="1169" r:id="rId70" name="Check Box 145">
              <controlPr defaultSize="0" autoFill="0" autoLine="0" autoPict="0">
                <anchor moveWithCells="1">
                  <from>
                    <xdr:col>14</xdr:col>
                    <xdr:colOff>106680</xdr:colOff>
                    <xdr:row>97</xdr:row>
                    <xdr:rowOff>144780</xdr:rowOff>
                  </from>
                  <to>
                    <xdr:col>14</xdr:col>
                    <xdr:colOff>312420</xdr:colOff>
                    <xdr:row>99</xdr:row>
                    <xdr:rowOff>30480</xdr:rowOff>
                  </to>
                </anchor>
              </controlPr>
            </control>
          </mc:Choice>
        </mc:AlternateContent>
        <mc:AlternateContent xmlns:mc="http://schemas.openxmlformats.org/markup-compatibility/2006">
          <mc:Choice Requires="x14">
            <control shapeId="1170" r:id="rId71" name="Check Box 146">
              <controlPr defaultSize="0" autoFill="0" autoLine="0" autoPict="0">
                <anchor moveWithCells="1">
                  <from>
                    <xdr:col>14</xdr:col>
                    <xdr:colOff>106680</xdr:colOff>
                    <xdr:row>98</xdr:row>
                    <xdr:rowOff>144780</xdr:rowOff>
                  </from>
                  <to>
                    <xdr:col>14</xdr:col>
                    <xdr:colOff>312420</xdr:colOff>
                    <xdr:row>100</xdr:row>
                    <xdr:rowOff>7620</xdr:rowOff>
                  </to>
                </anchor>
              </controlPr>
            </control>
          </mc:Choice>
        </mc:AlternateContent>
        <mc:AlternateContent xmlns:mc="http://schemas.openxmlformats.org/markup-compatibility/2006">
          <mc:Choice Requires="x14">
            <control shapeId="1171" r:id="rId72" name="Check Box 147">
              <controlPr defaultSize="0" autoFill="0" autoLine="0" autoPict="0">
                <anchor moveWithCells="1">
                  <from>
                    <xdr:col>14</xdr:col>
                    <xdr:colOff>106680</xdr:colOff>
                    <xdr:row>100</xdr:row>
                    <xdr:rowOff>160020</xdr:rowOff>
                  </from>
                  <to>
                    <xdr:col>14</xdr:col>
                    <xdr:colOff>312420</xdr:colOff>
                    <xdr:row>102</xdr:row>
                    <xdr:rowOff>68580</xdr:rowOff>
                  </to>
                </anchor>
              </controlPr>
            </control>
          </mc:Choice>
        </mc:AlternateContent>
        <mc:AlternateContent xmlns:mc="http://schemas.openxmlformats.org/markup-compatibility/2006">
          <mc:Choice Requires="x14">
            <control shapeId="1172" r:id="rId73" name="Check Box 148">
              <controlPr defaultSize="0" autoFill="0" autoLine="0" autoPict="0">
                <anchor moveWithCells="1">
                  <from>
                    <xdr:col>14</xdr:col>
                    <xdr:colOff>106680</xdr:colOff>
                    <xdr:row>99</xdr:row>
                    <xdr:rowOff>144780</xdr:rowOff>
                  </from>
                  <to>
                    <xdr:col>14</xdr:col>
                    <xdr:colOff>312420</xdr:colOff>
                    <xdr:row>101</xdr:row>
                    <xdr:rowOff>7620</xdr:rowOff>
                  </to>
                </anchor>
              </controlPr>
            </control>
          </mc:Choice>
        </mc:AlternateContent>
        <mc:AlternateContent xmlns:mc="http://schemas.openxmlformats.org/markup-compatibility/2006">
          <mc:Choice Requires="x14">
            <control shapeId="1173" r:id="rId74" name="Check Box 149">
              <controlPr defaultSize="0" autoFill="0" autoLine="0" autoPict="0">
                <anchor moveWithCells="1">
                  <from>
                    <xdr:col>14</xdr:col>
                    <xdr:colOff>106680</xdr:colOff>
                    <xdr:row>101</xdr:row>
                    <xdr:rowOff>144780</xdr:rowOff>
                  </from>
                  <to>
                    <xdr:col>14</xdr:col>
                    <xdr:colOff>312420</xdr:colOff>
                    <xdr:row>103</xdr:row>
                    <xdr:rowOff>30480</xdr:rowOff>
                  </to>
                </anchor>
              </controlPr>
            </control>
          </mc:Choice>
        </mc:AlternateContent>
        <mc:AlternateContent xmlns:mc="http://schemas.openxmlformats.org/markup-compatibility/2006">
          <mc:Choice Requires="x14">
            <control shapeId="1174" r:id="rId75" name="Check Box 150">
              <controlPr defaultSize="0" autoFill="0" autoLine="0" autoPict="0">
                <anchor moveWithCells="1">
                  <from>
                    <xdr:col>14</xdr:col>
                    <xdr:colOff>106680</xdr:colOff>
                    <xdr:row>102</xdr:row>
                    <xdr:rowOff>144780</xdr:rowOff>
                  </from>
                  <to>
                    <xdr:col>14</xdr:col>
                    <xdr:colOff>312420</xdr:colOff>
                    <xdr:row>104</xdr:row>
                    <xdr:rowOff>7620</xdr:rowOff>
                  </to>
                </anchor>
              </controlPr>
            </control>
          </mc:Choice>
        </mc:AlternateContent>
        <mc:AlternateContent xmlns:mc="http://schemas.openxmlformats.org/markup-compatibility/2006">
          <mc:Choice Requires="x14">
            <control shapeId="1175" r:id="rId76" name="Check Box 151">
              <controlPr defaultSize="0" autoFill="0" autoLine="0" autoPict="0">
                <anchor moveWithCells="1">
                  <from>
                    <xdr:col>14</xdr:col>
                    <xdr:colOff>106680</xdr:colOff>
                    <xdr:row>103</xdr:row>
                    <xdr:rowOff>144780</xdr:rowOff>
                  </from>
                  <to>
                    <xdr:col>14</xdr:col>
                    <xdr:colOff>312420</xdr:colOff>
                    <xdr:row>105</xdr:row>
                    <xdr:rowOff>30480</xdr:rowOff>
                  </to>
                </anchor>
              </controlPr>
            </control>
          </mc:Choice>
        </mc:AlternateContent>
        <mc:AlternateContent xmlns:mc="http://schemas.openxmlformats.org/markup-compatibility/2006">
          <mc:Choice Requires="x14">
            <control shapeId="1176" r:id="rId77" name="Check Box 152">
              <controlPr defaultSize="0" autoFill="0" autoLine="0" autoPict="0">
                <anchor moveWithCells="1">
                  <from>
                    <xdr:col>14</xdr:col>
                    <xdr:colOff>106680</xdr:colOff>
                    <xdr:row>104</xdr:row>
                    <xdr:rowOff>144780</xdr:rowOff>
                  </from>
                  <to>
                    <xdr:col>14</xdr:col>
                    <xdr:colOff>312420</xdr:colOff>
                    <xdr:row>106</xdr:row>
                    <xdr:rowOff>7620</xdr:rowOff>
                  </to>
                </anchor>
              </controlPr>
            </control>
          </mc:Choice>
        </mc:AlternateContent>
        <mc:AlternateContent xmlns:mc="http://schemas.openxmlformats.org/markup-compatibility/2006">
          <mc:Choice Requires="x14">
            <control shapeId="1220" r:id="rId78" name="Check Box 196">
              <controlPr defaultSize="0" autoFill="0" autoLine="0" autoPict="0">
                <anchor moveWithCells="1">
                  <from>
                    <xdr:col>14</xdr:col>
                    <xdr:colOff>106680</xdr:colOff>
                    <xdr:row>20</xdr:row>
                    <xdr:rowOff>114300</xdr:rowOff>
                  </from>
                  <to>
                    <xdr:col>14</xdr:col>
                    <xdr:colOff>312420</xdr:colOff>
                    <xdr:row>22</xdr:row>
                    <xdr:rowOff>0</xdr:rowOff>
                  </to>
                </anchor>
              </controlPr>
            </control>
          </mc:Choice>
        </mc:AlternateContent>
        <mc:AlternateContent xmlns:mc="http://schemas.openxmlformats.org/markup-compatibility/2006">
          <mc:Choice Requires="x14">
            <control shapeId="1221" r:id="rId79" name="Check Box 197">
              <controlPr defaultSize="0" autoFill="0" autoLine="0" autoPict="0">
                <anchor moveWithCells="1">
                  <from>
                    <xdr:col>14</xdr:col>
                    <xdr:colOff>106680</xdr:colOff>
                    <xdr:row>19</xdr:row>
                    <xdr:rowOff>121920</xdr:rowOff>
                  </from>
                  <to>
                    <xdr:col>14</xdr:col>
                    <xdr:colOff>312420</xdr:colOff>
                    <xdr:row>21</xdr:row>
                    <xdr:rowOff>0</xdr:rowOff>
                  </to>
                </anchor>
              </controlPr>
            </control>
          </mc:Choice>
        </mc:AlternateContent>
        <mc:AlternateContent xmlns:mc="http://schemas.openxmlformats.org/markup-compatibility/2006">
          <mc:Choice Requires="x14">
            <control shapeId="1222" r:id="rId80" name="Check Box 198">
              <controlPr defaultSize="0" autoFill="0" autoLine="0" autoPict="0">
                <anchor moveWithCells="1">
                  <from>
                    <xdr:col>14</xdr:col>
                    <xdr:colOff>106680</xdr:colOff>
                    <xdr:row>21</xdr:row>
                    <xdr:rowOff>114300</xdr:rowOff>
                  </from>
                  <to>
                    <xdr:col>14</xdr:col>
                    <xdr:colOff>312420</xdr:colOff>
                    <xdr:row>23</xdr:row>
                    <xdr:rowOff>0</xdr:rowOff>
                  </to>
                </anchor>
              </controlPr>
            </control>
          </mc:Choice>
        </mc:AlternateContent>
        <mc:AlternateContent xmlns:mc="http://schemas.openxmlformats.org/markup-compatibility/2006">
          <mc:Choice Requires="x14">
            <control shapeId="1242" r:id="rId81" name="Check Box 218">
              <controlPr defaultSize="0" autoFill="0" autoLine="0" autoPict="0">
                <anchor moveWithCells="1">
                  <from>
                    <xdr:col>14</xdr:col>
                    <xdr:colOff>83820</xdr:colOff>
                    <xdr:row>48</xdr:row>
                    <xdr:rowOff>121920</xdr:rowOff>
                  </from>
                  <to>
                    <xdr:col>14</xdr:col>
                    <xdr:colOff>304800</xdr:colOff>
                    <xdr:row>50</xdr:row>
                    <xdr:rowOff>0</xdr:rowOff>
                  </to>
                </anchor>
              </controlPr>
            </control>
          </mc:Choice>
        </mc:AlternateContent>
        <mc:AlternateContent xmlns:mc="http://schemas.openxmlformats.org/markup-compatibility/2006">
          <mc:Choice Requires="x14">
            <control shapeId="1243" r:id="rId82" name="Check Box 219">
              <controlPr defaultSize="0" autoFill="0" autoLine="0" autoPict="0">
                <anchor moveWithCells="1">
                  <from>
                    <xdr:col>14</xdr:col>
                    <xdr:colOff>83820</xdr:colOff>
                    <xdr:row>34</xdr:row>
                    <xdr:rowOff>0</xdr:rowOff>
                  </from>
                  <to>
                    <xdr:col>14</xdr:col>
                    <xdr:colOff>304800</xdr:colOff>
                    <xdr:row>35</xdr:row>
                    <xdr:rowOff>38100</xdr:rowOff>
                  </to>
                </anchor>
              </controlPr>
            </control>
          </mc:Choice>
        </mc:AlternateContent>
        <mc:AlternateContent xmlns:mc="http://schemas.openxmlformats.org/markup-compatibility/2006">
          <mc:Choice Requires="x14">
            <control shapeId="1249" r:id="rId83" name="Check Box 225">
              <controlPr defaultSize="0" autoFill="0" autoLine="0" autoPict="0">
                <anchor moveWithCells="1">
                  <from>
                    <xdr:col>14</xdr:col>
                    <xdr:colOff>106680</xdr:colOff>
                    <xdr:row>77</xdr:row>
                    <xdr:rowOff>144780</xdr:rowOff>
                  </from>
                  <to>
                    <xdr:col>14</xdr:col>
                    <xdr:colOff>312420</xdr:colOff>
                    <xdr:row>79</xdr:row>
                    <xdr:rowOff>7620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9">
        <x14:dataValidation type="list" allowBlank="1" showInputMessage="1" showErrorMessage="1">
          <x14:formula1>
            <xm:f>'Valeurs de reference'!$O$8:$O$11</xm:f>
          </x14:formula1>
          <xm:sqref>F91 F49:F51 F74:F77 F83 F79 F86:F88 F36 F58:F59 F61 F41:F42 F32:F34</xm:sqref>
        </x14:dataValidation>
        <x14:dataValidation type="list" allowBlank="1" showInputMessage="1" showErrorMessage="1">
          <x14:formula1>
            <xm:f>'Valeurs de reference'!$Q$8:$Q$13</xm:f>
          </x14:formula1>
          <xm:sqref>F35</xm:sqref>
        </x14:dataValidation>
        <x14:dataValidation type="list" allowBlank="1" showInputMessage="1" showErrorMessage="1">
          <x14:formula1>
            <xm:f>'Valeurs de reference'!$S$8:$S$13</xm:f>
          </x14:formula1>
          <xm:sqref>F39</xm:sqref>
        </x14:dataValidation>
        <x14:dataValidation type="list" allowBlank="1" showErrorMessage="1">
          <x14:formula1>
            <xm:f>'Valeurs de reference'!$Y$8:$Y$15</xm:f>
          </x14:formula1>
          <xm:sqref>F67</xm:sqref>
        </x14:dataValidation>
        <x14:dataValidation type="list" allowBlank="1" showErrorMessage="1">
          <x14:formula1>
            <xm:f>'Valeurs de reference'!$AA$8:$AA$12</xm:f>
          </x14:formula1>
          <xm:sqref>F68</xm:sqref>
        </x14:dataValidation>
        <x14:dataValidation type="list" allowBlank="1" showErrorMessage="1">
          <x14:formula1>
            <xm:f>'Valeurs de reference'!$AC$8:$AC$12</xm:f>
          </x14:formula1>
          <xm:sqref>F47</xm:sqref>
        </x14:dataValidation>
        <x14:dataValidation type="list" allowBlank="1" showInputMessage="1" showErrorMessage="1">
          <x14:formula1>
            <xm:f>'Valeurs de reference'!$AE$8:$AE$11</xm:f>
          </x14:formula1>
          <xm:sqref>F48</xm:sqref>
        </x14:dataValidation>
        <x14:dataValidation type="list" allowBlank="1" showErrorMessage="1">
          <x14:formula1>
            <xm:f>'Valeurs de reference'!$AG$8:$AG$14</xm:f>
          </x14:formula1>
          <xm:sqref>F72</xm:sqref>
        </x14:dataValidation>
        <x14:dataValidation type="list" allowBlank="1" showErrorMessage="1">
          <x14:formula1>
            <xm:f>'Valeurs de reference'!$AI$8:$AI$12</xm:f>
          </x14:formula1>
          <xm:sqref>F73</xm:sqref>
        </x14:dataValidation>
        <x14:dataValidation type="list" allowBlank="1" showErrorMessage="1">
          <x14:formula1>
            <xm:f>'Valeurs de reference'!$AK$8:$AK$11</xm:f>
          </x14:formula1>
          <xm:sqref>F81</xm:sqref>
        </x14:dataValidation>
        <x14:dataValidation type="list" allowBlank="1" showErrorMessage="1">
          <x14:formula1>
            <xm:f>'Valeurs de reference'!$AO$8:$AO$11</xm:f>
          </x14:formula1>
          <xm:sqref>F84</xm:sqref>
        </x14:dataValidation>
        <x14:dataValidation type="list" allowBlank="1" showInputMessage="1" showErrorMessage="1">
          <x14:formula1>
            <xm:f>'Valeurs de reference'!$AQ$8:$AQ$10</xm:f>
          </x14:formula1>
          <xm:sqref>F85</xm:sqref>
        </x14:dataValidation>
        <x14:dataValidation type="list" allowBlank="1" showInputMessage="1" showErrorMessage="1">
          <x14:formula1>
            <xm:f>'Valeurs de reference'!$AU$8:$AU$12</xm:f>
          </x14:formula1>
          <xm:sqref>F92</xm:sqref>
        </x14:dataValidation>
        <x14:dataValidation type="list" allowBlank="1" showInputMessage="1" showErrorMessage="1">
          <x14:formula1>
            <xm:f>'Valeurs de reference'!$M$8:$M$14</xm:f>
          </x14:formula1>
          <xm:sqref>F24</xm:sqref>
        </x14:dataValidation>
        <x14:dataValidation type="list" allowBlank="1" showInputMessage="1" showErrorMessage="1">
          <x14:formula1>
            <xm:f>'Valeurs de reference'!$AM$8:$AM$11</xm:f>
          </x14:formula1>
          <xm:sqref>F82</xm:sqref>
        </x14:dataValidation>
        <x14:dataValidation type="list" allowBlank="1" showInputMessage="1" showErrorMessage="1">
          <x14:formula1>
            <xm:f>'Valeurs de reference'!$U$8:$U$13</xm:f>
          </x14:formula1>
          <xm:sqref>F40</xm:sqref>
        </x14:dataValidation>
        <x14:dataValidation type="list" allowBlank="1" showErrorMessage="1">
          <x14:formula1>
            <xm:f>'Valeurs de reference'!$W$8:$W$12</xm:f>
          </x14:formula1>
          <xm:sqref>F43</xm:sqref>
        </x14:dataValidation>
        <x14:dataValidation type="list" allowBlank="1" showInputMessage="1" showErrorMessage="1">
          <x14:formula1>
            <xm:f>'Valeurs de reference'!$O$8:$O$12</xm:f>
          </x14:formula1>
          <xm:sqref>F46</xm:sqref>
        </x14:dataValidation>
        <x14:dataValidation type="list" allowBlank="1" showInputMessage="1" showErrorMessage="1">
          <x14:formula1>
            <xm:f>'Valeurs de reference'!$I$8:$I$12</xm:f>
          </x14:formula1>
          <xm:sqref>E10:E11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B1:AV58"/>
  <sheetViews>
    <sheetView showGridLines="0" workbookViewId="0">
      <selection activeCell="F13" sqref="F13"/>
    </sheetView>
  </sheetViews>
  <sheetFormatPr baseColWidth="10" defaultRowHeight="13.2" x14ac:dyDescent="0.25"/>
  <cols>
    <col min="1" max="1" width="2.44140625" customWidth="1"/>
    <col min="2" max="2" width="7.5546875" customWidth="1"/>
    <col min="3" max="3" width="2" customWidth="1"/>
    <col min="4" max="4" width="21.44140625" customWidth="1"/>
    <col min="5" max="5" width="59.5546875" customWidth="1"/>
    <col min="6" max="6" width="22.88671875" customWidth="1"/>
    <col min="7" max="7" width="10" customWidth="1"/>
    <col min="9" max="9" width="42.88671875" bestFit="1" customWidth="1"/>
    <col min="10" max="10" width="1.5546875" customWidth="1"/>
    <col min="11" max="11" width="41.5546875" customWidth="1"/>
    <col min="12" max="12" width="1.5546875" customWidth="1"/>
    <col min="13" max="13" width="27.109375" bestFit="1" customWidth="1"/>
    <col min="14" max="14" width="1.5546875" style="17" customWidth="1"/>
    <col min="15" max="15" width="26" bestFit="1" customWidth="1"/>
    <col min="16" max="16" width="2.44140625" customWidth="1"/>
    <col min="17" max="17" width="30" bestFit="1" customWidth="1"/>
    <col min="18" max="18" width="1.5546875" customWidth="1"/>
    <col min="19" max="19" width="19.44140625" customWidth="1"/>
    <col min="20" max="20" width="1.5546875" customWidth="1"/>
    <col min="21" max="21" width="19.44140625" customWidth="1"/>
    <col min="22" max="22" width="2.5546875" customWidth="1"/>
    <col min="23" max="23" width="18.88671875" customWidth="1"/>
    <col min="24" max="24" width="1.5546875" customWidth="1"/>
    <col min="25" max="25" width="27.44140625" customWidth="1"/>
    <col min="26" max="26" width="2.109375" customWidth="1"/>
    <col min="28" max="28" width="1.44140625" customWidth="1"/>
    <col min="29" max="29" width="19" customWidth="1"/>
    <col min="30" max="30" width="1.88671875" customWidth="1"/>
    <col min="31" max="31" width="19.5546875" customWidth="1"/>
    <col min="32" max="32" width="1.5546875" customWidth="1"/>
    <col min="33" max="33" width="38.44140625" bestFit="1" customWidth="1"/>
    <col min="34" max="34" width="1" customWidth="1"/>
    <col min="35" max="35" width="13.88671875" bestFit="1" customWidth="1"/>
    <col min="36" max="36" width="1" customWidth="1"/>
    <col min="37" max="37" width="20.88671875" customWidth="1"/>
    <col min="38" max="38" width="1" customWidth="1"/>
    <col min="39" max="39" width="24.44140625" customWidth="1"/>
    <col min="40" max="40" width="1" customWidth="1"/>
    <col min="41" max="41" width="19.5546875" customWidth="1"/>
    <col min="42" max="42" width="1" customWidth="1"/>
    <col min="43" max="43" width="18" customWidth="1"/>
    <col min="44" max="44" width="1" customWidth="1"/>
    <col min="45" max="45" width="18.44140625" customWidth="1"/>
    <col min="46" max="46" width="1.44140625" customWidth="1"/>
    <col min="47" max="47" width="13.88671875" customWidth="1"/>
    <col min="48" max="48" width="11.109375" customWidth="1"/>
    <col min="49" max="49" width="26.5546875" customWidth="1"/>
  </cols>
  <sheetData>
    <row r="1" spans="2:48" ht="97.5" customHeight="1" x14ac:dyDescent="1.05">
      <c r="D1" s="10"/>
      <c r="E1" s="18" t="s">
        <v>39</v>
      </c>
      <c r="F1" s="10"/>
      <c r="G1" s="10"/>
      <c r="H1" s="11"/>
      <c r="I1" s="11"/>
      <c r="J1" s="11"/>
      <c r="K1" s="11"/>
      <c r="L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row>
    <row r="2" spans="2:48" ht="12.75" customHeight="1" x14ac:dyDescent="0.25">
      <c r="D2" s="1"/>
      <c r="E2" s="1"/>
      <c r="F2" s="2"/>
      <c r="G2" s="1"/>
    </row>
    <row r="3" spans="2:48" ht="28.8" x14ac:dyDescent="0.5">
      <c r="D3" s="14" t="s">
        <v>13</v>
      </c>
      <c r="E3" s="14"/>
      <c r="F3" s="14"/>
      <c r="G3" s="14"/>
      <c r="M3" s="522" t="s">
        <v>116</v>
      </c>
      <c r="N3" s="522"/>
      <c r="O3" s="522"/>
      <c r="P3" s="522"/>
      <c r="Q3" s="522"/>
      <c r="R3" s="522"/>
      <c r="S3" s="522"/>
      <c r="T3" s="522"/>
      <c r="U3" s="522"/>
      <c r="V3" s="522"/>
      <c r="W3" s="522"/>
      <c r="X3" s="522"/>
      <c r="Y3" s="522"/>
      <c r="Z3" s="522"/>
      <c r="AA3" s="522"/>
      <c r="AB3" s="522"/>
      <c r="AC3" s="522"/>
      <c r="AD3" s="522"/>
      <c r="AE3" s="522"/>
      <c r="AF3" s="522"/>
      <c r="AG3" s="522"/>
      <c r="AH3" s="522"/>
      <c r="AI3" s="522"/>
      <c r="AJ3" s="522"/>
      <c r="AK3" s="522"/>
      <c r="AL3" s="522"/>
      <c r="AM3" s="522"/>
      <c r="AN3" s="522"/>
      <c r="AO3" s="522"/>
      <c r="AP3" s="522"/>
      <c r="AQ3" s="522"/>
      <c r="AR3" s="522"/>
      <c r="AS3" s="522"/>
    </row>
    <row r="4" spans="2:48" x14ac:dyDescent="0.25">
      <c r="D4" s="5"/>
      <c r="E4" s="1"/>
      <c r="F4" s="2"/>
      <c r="G4" s="1"/>
      <c r="N4"/>
    </row>
    <row r="5" spans="2:48" ht="27.75" customHeight="1" x14ac:dyDescent="0.25">
      <c r="D5" s="537" t="s">
        <v>163</v>
      </c>
      <c r="E5" s="537"/>
      <c r="F5" s="537"/>
      <c r="G5" s="537"/>
      <c r="N5"/>
    </row>
    <row r="6" spans="2:48" ht="13.8" thickBot="1" x14ac:dyDescent="0.3">
      <c r="D6" s="1"/>
      <c r="E6" s="1"/>
      <c r="F6" s="6"/>
      <c r="G6" s="3" t="s">
        <v>0</v>
      </c>
    </row>
    <row r="7" spans="2:48" ht="55.8" thickBot="1" x14ac:dyDescent="0.3">
      <c r="B7" s="77" t="s">
        <v>177</v>
      </c>
      <c r="D7" s="66" t="s">
        <v>1</v>
      </c>
      <c r="E7" s="67"/>
      <c r="F7" s="67"/>
      <c r="G7" s="68"/>
      <c r="I7" s="42" t="s">
        <v>199</v>
      </c>
      <c r="K7" s="42" t="s">
        <v>199</v>
      </c>
      <c r="M7" s="42" t="s">
        <v>56</v>
      </c>
      <c r="N7" s="43"/>
      <c r="O7" s="42" t="s">
        <v>45</v>
      </c>
      <c r="P7" s="41"/>
      <c r="Q7" s="42" t="s">
        <v>85</v>
      </c>
      <c r="S7" s="42" t="s">
        <v>220</v>
      </c>
      <c r="U7" s="42" t="s">
        <v>197</v>
      </c>
      <c r="W7" s="42" t="s">
        <v>91</v>
      </c>
      <c r="Y7" s="42" t="s">
        <v>125</v>
      </c>
      <c r="AA7" s="42" t="s">
        <v>125</v>
      </c>
      <c r="AC7" s="42" t="s">
        <v>144</v>
      </c>
      <c r="AE7" s="42" t="s">
        <v>111</v>
      </c>
      <c r="AG7" s="42" t="s">
        <v>99</v>
      </c>
      <c r="AI7" s="42" t="s">
        <v>104</v>
      </c>
      <c r="AK7" s="42" t="str">
        <f>D47</f>
        <v>Pente de la voie d'accès dans le sens de la circulation</v>
      </c>
      <c r="AM7" s="42" t="str">
        <f>D48</f>
        <v>Pente de la voie d'accès dans le sens transversal à la circulation</v>
      </c>
      <c r="AO7" s="42" t="str">
        <f>D49</f>
        <v>Largeur minimale de la voie d'accès au silo</v>
      </c>
      <c r="AQ7" s="42" t="str">
        <f>D50</f>
        <v>Hauteur de dégagement de la voie d'accès au silo</v>
      </c>
      <c r="AS7" s="42" t="s">
        <v>46</v>
      </c>
      <c r="AU7" s="42" t="s">
        <v>146</v>
      </c>
    </row>
    <row r="8" spans="2:48" x14ac:dyDescent="0.25">
      <c r="B8" s="510">
        <f>'Fiche de vérification'!B16</f>
        <v>1</v>
      </c>
      <c r="D8" s="525" t="s">
        <v>155</v>
      </c>
      <c r="E8" s="526"/>
      <c r="F8" s="526"/>
      <c r="G8" s="527"/>
      <c r="I8" s="22" t="s">
        <v>30</v>
      </c>
      <c r="K8" s="22" t="s">
        <v>30</v>
      </c>
      <c r="M8" s="22" t="s">
        <v>30</v>
      </c>
      <c r="O8" s="22" t="s">
        <v>30</v>
      </c>
      <c r="P8" s="17"/>
      <c r="Q8" s="22" t="s">
        <v>30</v>
      </c>
      <c r="S8" s="22" t="s">
        <v>30</v>
      </c>
      <c r="U8" s="22" t="s">
        <v>30</v>
      </c>
      <c r="W8" s="22" t="s">
        <v>30</v>
      </c>
      <c r="Y8" s="22" t="s">
        <v>30</v>
      </c>
      <c r="AA8" s="22" t="s">
        <v>30</v>
      </c>
      <c r="AC8" s="22" t="s">
        <v>30</v>
      </c>
      <c r="AE8" s="22" t="s">
        <v>30</v>
      </c>
      <c r="AG8" s="22" t="s">
        <v>30</v>
      </c>
      <c r="AI8" s="22" t="s">
        <v>30</v>
      </c>
      <c r="AK8" s="22" t="s">
        <v>30</v>
      </c>
      <c r="AM8" s="22" t="s">
        <v>30</v>
      </c>
      <c r="AO8" s="22" t="s">
        <v>30</v>
      </c>
      <c r="AQ8" s="22" t="s">
        <v>30</v>
      </c>
      <c r="AS8" s="22" t="s">
        <v>25</v>
      </c>
      <c r="AU8" s="22" t="s">
        <v>30</v>
      </c>
    </row>
    <row r="9" spans="2:48" ht="13.8" thickBot="1" x14ac:dyDescent="0.3">
      <c r="B9" s="511"/>
      <c r="D9" s="528" t="s">
        <v>154</v>
      </c>
      <c r="E9" s="529"/>
      <c r="F9" s="529"/>
      <c r="G9" s="530"/>
      <c r="I9" s="22" t="s">
        <v>200</v>
      </c>
      <c r="K9" s="22" t="s">
        <v>200</v>
      </c>
      <c r="M9" s="22" t="s">
        <v>79</v>
      </c>
      <c r="O9" s="22" t="s">
        <v>43</v>
      </c>
      <c r="P9" s="17"/>
      <c r="Q9" s="22" t="s">
        <v>82</v>
      </c>
      <c r="S9" s="22" t="s">
        <v>48</v>
      </c>
      <c r="U9" s="22" t="s">
        <v>221</v>
      </c>
      <c r="W9" s="22" t="s">
        <v>88</v>
      </c>
      <c r="Y9" s="22" t="s">
        <v>126</v>
      </c>
      <c r="AA9" s="22">
        <v>10</v>
      </c>
      <c r="AC9" s="22" t="s">
        <v>98</v>
      </c>
      <c r="AE9" s="22" t="s">
        <v>180</v>
      </c>
      <c r="AG9" s="22" t="s">
        <v>100</v>
      </c>
      <c r="AI9" s="22" t="s">
        <v>105</v>
      </c>
      <c r="AK9" s="22" t="str">
        <f>CONCATENATE("&gt; ",F47," %")</f>
        <v>&gt; 10 %</v>
      </c>
      <c r="AM9" s="22" t="str">
        <f>CONCATENATE("&gt; ",F48," %")</f>
        <v>&gt; 2 %</v>
      </c>
      <c r="AO9" s="22" t="str">
        <f>CONCATENATE("&gt; ",F49," m")</f>
        <v>&gt; 4 m</v>
      </c>
      <c r="AQ9" s="22" t="str">
        <f>CONCATENATE("&gt; ",F50," m")</f>
        <v>&gt; 6 m</v>
      </c>
      <c r="AS9" s="22"/>
      <c r="AU9" s="22" t="s">
        <v>150</v>
      </c>
    </row>
    <row r="10" spans="2:48" x14ac:dyDescent="0.25">
      <c r="B10" s="510">
        <f>'Fiche de vérification'!B20</f>
        <v>5</v>
      </c>
      <c r="D10" s="90" t="s">
        <v>204</v>
      </c>
      <c r="E10" s="91"/>
      <c r="F10" s="353">
        <v>0.85</v>
      </c>
      <c r="G10" s="102" t="s">
        <v>7</v>
      </c>
      <c r="I10" s="22" t="s">
        <v>201</v>
      </c>
      <c r="K10" s="22" t="s">
        <v>201</v>
      </c>
      <c r="M10" s="22" t="s">
        <v>75</v>
      </c>
      <c r="O10" s="22" t="s">
        <v>44</v>
      </c>
      <c r="P10" s="17"/>
      <c r="Q10" s="22" t="s">
        <v>83</v>
      </c>
      <c r="S10" s="22" t="s">
        <v>141</v>
      </c>
      <c r="U10" s="22" t="s">
        <v>222</v>
      </c>
      <c r="W10" s="22" t="s">
        <v>89</v>
      </c>
      <c r="Y10" s="22" t="s">
        <v>127</v>
      </c>
      <c r="AA10" s="22">
        <v>30</v>
      </c>
      <c r="AC10" s="22" t="s">
        <v>96</v>
      </c>
      <c r="AE10" s="31" t="s">
        <v>181</v>
      </c>
      <c r="AG10" s="22" t="s">
        <v>102</v>
      </c>
      <c r="AI10" s="22" t="s">
        <v>106</v>
      </c>
      <c r="AK10" s="22" t="str">
        <f>CONCATENATE("&lt; ",F47," %")</f>
        <v>&lt; 10 %</v>
      </c>
      <c r="AM10" s="22" t="str">
        <f>CONCATENATE("&lt; ",F48," %")</f>
        <v>&lt; 2 %</v>
      </c>
      <c r="AO10" s="22" t="str">
        <f>CONCATENATE("&lt; ",F49," m")</f>
        <v>&lt; 4 m</v>
      </c>
      <c r="AQ10" s="22" t="str">
        <f>CONCATENATE("&lt; ",F50," m")</f>
        <v>&lt; 6 m</v>
      </c>
      <c r="AU10" s="22" t="s">
        <v>148</v>
      </c>
    </row>
    <row r="11" spans="2:48" ht="13.8" thickBot="1" x14ac:dyDescent="0.3">
      <c r="B11" s="514"/>
      <c r="D11" s="92" t="s">
        <v>205</v>
      </c>
      <c r="E11" s="88"/>
      <c r="F11" s="354">
        <v>0.95</v>
      </c>
      <c r="G11" s="89" t="s">
        <v>7</v>
      </c>
      <c r="I11" s="22" t="s">
        <v>202</v>
      </c>
      <c r="K11" s="22" t="s">
        <v>202</v>
      </c>
      <c r="M11" s="22" t="s">
        <v>76</v>
      </c>
      <c r="O11" s="22" t="s">
        <v>38</v>
      </c>
      <c r="P11" s="17"/>
      <c r="Q11" s="22" t="s">
        <v>84</v>
      </c>
      <c r="R11" s="17"/>
      <c r="S11" s="22" t="s">
        <v>140</v>
      </c>
      <c r="T11" s="17"/>
      <c r="U11" s="22" t="s">
        <v>140</v>
      </c>
      <c r="W11" s="22" t="s">
        <v>223</v>
      </c>
      <c r="Y11" s="22" t="s">
        <v>128</v>
      </c>
      <c r="AA11" s="22">
        <v>60</v>
      </c>
      <c r="AC11" s="22" t="s">
        <v>97</v>
      </c>
      <c r="AE11" s="22" t="s">
        <v>182</v>
      </c>
      <c r="AG11" s="22" t="s">
        <v>103</v>
      </c>
      <c r="AI11" s="22" t="s">
        <v>107</v>
      </c>
      <c r="AK11" s="22" t="s">
        <v>38</v>
      </c>
      <c r="AM11" s="22" t="s">
        <v>38</v>
      </c>
      <c r="AO11" s="22" t="s">
        <v>38</v>
      </c>
      <c r="AU11" s="22" t="s">
        <v>147</v>
      </c>
    </row>
    <row r="12" spans="2:48" ht="13.8" thickBot="1" x14ac:dyDescent="0.3">
      <c r="B12" s="87">
        <f>'Fiche de vérification'!B21</f>
        <v>6</v>
      </c>
      <c r="D12" s="99" t="s">
        <v>207</v>
      </c>
      <c r="E12" s="100"/>
      <c r="F12" s="103">
        <v>15</v>
      </c>
      <c r="G12" s="101" t="s">
        <v>7</v>
      </c>
      <c r="I12" s="22" t="s">
        <v>203</v>
      </c>
      <c r="K12" s="22" t="s">
        <v>203</v>
      </c>
      <c r="M12" s="22" t="s">
        <v>77</v>
      </c>
      <c r="O12" s="17"/>
      <c r="P12" s="17"/>
      <c r="Q12" s="22" t="s">
        <v>107</v>
      </c>
      <c r="R12" s="17"/>
      <c r="S12" s="22" t="s">
        <v>191</v>
      </c>
      <c r="T12" s="17"/>
      <c r="U12" s="22" t="s">
        <v>191</v>
      </c>
      <c r="W12" s="22" t="s">
        <v>196</v>
      </c>
      <c r="Y12" s="22" t="s">
        <v>129</v>
      </c>
      <c r="AA12" s="22">
        <v>90</v>
      </c>
      <c r="AC12" s="22" t="s">
        <v>90</v>
      </c>
      <c r="AG12" s="22" t="s">
        <v>101</v>
      </c>
      <c r="AI12" s="22" t="s">
        <v>90</v>
      </c>
      <c r="AU12" s="22" t="s">
        <v>149</v>
      </c>
    </row>
    <row r="13" spans="2:48" ht="12.75" customHeight="1" x14ac:dyDescent="0.25">
      <c r="B13" s="510">
        <f>'Fiche de vérification'!B24</f>
        <v>9</v>
      </c>
      <c r="D13" s="61" t="s">
        <v>168</v>
      </c>
      <c r="E13" s="62">
        <v>300</v>
      </c>
      <c r="F13" s="81" t="str">
        <f t="shared" ref="F13:F18" si="0">M9</f>
        <v>C1 (P16/45 A et M 15/25-30)</v>
      </c>
      <c r="G13" s="58"/>
      <c r="M13" s="22" t="s">
        <v>78</v>
      </c>
      <c r="O13" s="17"/>
      <c r="P13" s="17"/>
      <c r="Q13" s="22" t="s">
        <v>90</v>
      </c>
      <c r="R13" s="17"/>
      <c r="S13" s="22" t="s">
        <v>131</v>
      </c>
      <c r="T13" s="17"/>
      <c r="U13" s="22" t="s">
        <v>131</v>
      </c>
      <c r="Y13" s="22" t="s">
        <v>130</v>
      </c>
      <c r="AG13" s="22" t="s">
        <v>145</v>
      </c>
    </row>
    <row r="14" spans="2:48" ht="12.75" customHeight="1" x14ac:dyDescent="0.25">
      <c r="B14" s="514"/>
      <c r="D14" s="63" t="s">
        <v>168</v>
      </c>
      <c r="E14" s="49">
        <v>800</v>
      </c>
      <c r="F14" s="50" t="str">
        <f t="shared" si="0"/>
        <v>C2 (P45/63 et M 30/40)</v>
      </c>
      <c r="G14" s="59"/>
      <c r="M14" s="22" t="s">
        <v>80</v>
      </c>
      <c r="O14" s="17"/>
      <c r="P14" s="17"/>
      <c r="Q14" s="17"/>
      <c r="R14" s="17"/>
      <c r="S14" s="17"/>
      <c r="T14" s="17"/>
      <c r="U14" s="17"/>
      <c r="Y14" s="31" t="s">
        <v>132</v>
      </c>
      <c r="AG14" s="22" t="s">
        <v>90</v>
      </c>
    </row>
    <row r="15" spans="2:48" ht="12.75" customHeight="1" x14ac:dyDescent="0.25">
      <c r="B15" s="514"/>
      <c r="D15" s="63" t="s">
        <v>168</v>
      </c>
      <c r="E15" s="49">
        <v>3000</v>
      </c>
      <c r="F15" s="50" t="str">
        <f t="shared" si="0"/>
        <v>C3 (P63/125 et M 35/45)</v>
      </c>
      <c r="G15" s="59"/>
      <c r="O15" s="17"/>
      <c r="P15" s="17"/>
      <c r="Q15" s="17"/>
      <c r="R15" s="17"/>
      <c r="S15" s="17"/>
      <c r="T15" s="17"/>
      <c r="U15" s="17"/>
      <c r="Y15" s="22" t="s">
        <v>131</v>
      </c>
    </row>
    <row r="16" spans="2:48" ht="12.75" customHeight="1" x14ac:dyDescent="0.25">
      <c r="B16" s="514"/>
      <c r="D16" s="63" t="s">
        <v>168</v>
      </c>
      <c r="E16" s="49">
        <v>5000</v>
      </c>
      <c r="F16" s="50" t="str">
        <f t="shared" si="0"/>
        <v>C4 (P100/200 et M10/20)</v>
      </c>
      <c r="G16" s="59"/>
      <c r="O16" s="17"/>
      <c r="P16" s="17"/>
      <c r="Q16" s="17"/>
      <c r="R16" s="17"/>
      <c r="S16" s="17"/>
      <c r="T16" s="17"/>
      <c r="U16" s="17"/>
    </row>
    <row r="17" spans="2:21" ht="12.75" customHeight="1" x14ac:dyDescent="0.25">
      <c r="B17" s="514"/>
      <c r="D17" s="63" t="s">
        <v>168</v>
      </c>
      <c r="E17" s="49">
        <v>15000</v>
      </c>
      <c r="F17" s="50" t="str">
        <f t="shared" si="0"/>
        <v>C5 (P100/200 et M40/55)</v>
      </c>
      <c r="G17" s="59"/>
      <c r="O17" s="17"/>
      <c r="P17" s="17"/>
      <c r="Q17" s="17"/>
      <c r="R17" s="17"/>
      <c r="S17" s="17"/>
      <c r="T17" s="17"/>
      <c r="U17" s="17"/>
    </row>
    <row r="18" spans="2:21" ht="27" thickBot="1" x14ac:dyDescent="0.3">
      <c r="B18" s="511"/>
      <c r="D18" s="64" t="s">
        <v>167</v>
      </c>
      <c r="E18" s="65">
        <v>15000</v>
      </c>
      <c r="F18" s="82" t="str">
        <f t="shared" si="0"/>
        <v>C6 (Spécifique forte puissance)</v>
      </c>
      <c r="G18" s="60"/>
      <c r="O18" s="17"/>
      <c r="P18" s="17"/>
      <c r="Q18" s="17"/>
      <c r="R18" s="17"/>
      <c r="S18" s="17"/>
      <c r="T18" s="17"/>
      <c r="U18" s="17"/>
    </row>
    <row r="19" spans="2:21" ht="13.8" thickBot="1" x14ac:dyDescent="0.3">
      <c r="B19" s="75">
        <f>'Fiche de vérification'!B25</f>
        <v>10</v>
      </c>
      <c r="D19" s="512" t="s">
        <v>156</v>
      </c>
      <c r="E19" s="513"/>
      <c r="F19" s="523"/>
      <c r="G19" s="524"/>
      <c r="M19" s="17"/>
      <c r="S19" s="17"/>
      <c r="T19" s="17"/>
      <c r="U19" s="17"/>
    </row>
    <row r="20" spans="2:21" ht="13.8" thickBot="1" x14ac:dyDescent="0.3">
      <c r="B20" s="76">
        <f>'Fiche de vérification'!B27</f>
        <v>12</v>
      </c>
      <c r="D20" s="539" t="s">
        <v>115</v>
      </c>
      <c r="E20" s="540"/>
      <c r="F20" s="72">
        <v>1.5</v>
      </c>
      <c r="G20" s="73" t="s">
        <v>224</v>
      </c>
      <c r="M20" s="17"/>
      <c r="S20" s="17"/>
      <c r="T20" s="17"/>
      <c r="U20" s="17"/>
    </row>
    <row r="21" spans="2:21" ht="13.8" thickBot="1" x14ac:dyDescent="0.3">
      <c r="B21" s="76">
        <f>'Fiche de vérification'!B30</f>
        <v>15</v>
      </c>
      <c r="D21" s="512" t="s">
        <v>114</v>
      </c>
      <c r="E21" s="513"/>
      <c r="F21" s="94">
        <v>0.5</v>
      </c>
      <c r="G21" s="69"/>
      <c r="M21" s="40"/>
    </row>
    <row r="22" spans="2:21" x14ac:dyDescent="0.25">
      <c r="B22" s="510">
        <f>'Fiche de vérification'!B31</f>
        <v>16</v>
      </c>
      <c r="D22" s="90" t="s">
        <v>215</v>
      </c>
      <c r="E22" s="91"/>
      <c r="F22" s="72">
        <v>1500</v>
      </c>
      <c r="G22" s="102" t="s">
        <v>14</v>
      </c>
      <c r="M22" s="40"/>
    </row>
    <row r="23" spans="2:21" ht="13.8" thickBot="1" x14ac:dyDescent="0.3">
      <c r="B23" s="511"/>
      <c r="D23" s="92" t="s">
        <v>214</v>
      </c>
      <c r="E23" s="88"/>
      <c r="F23" s="74">
        <v>3000</v>
      </c>
      <c r="G23" s="89" t="s">
        <v>14</v>
      </c>
      <c r="M23" s="40"/>
    </row>
    <row r="24" spans="2:21" ht="13.8" thickBot="1" x14ac:dyDescent="0.3">
      <c r="B24" s="75">
        <f>'Fiche de vérification'!B33</f>
        <v>18</v>
      </c>
      <c r="D24" s="85" t="s">
        <v>208</v>
      </c>
      <c r="E24" s="86"/>
      <c r="F24" s="70">
        <f>15</f>
        <v>15</v>
      </c>
      <c r="G24" s="69" t="s">
        <v>209</v>
      </c>
      <c r="M24" s="40"/>
    </row>
    <row r="25" spans="2:21" ht="13.8" thickBot="1" x14ac:dyDescent="0.3">
      <c r="D25" s="1"/>
      <c r="E25" s="1"/>
      <c r="F25" s="1"/>
      <c r="G25" s="1"/>
      <c r="M25" s="40"/>
    </row>
    <row r="26" spans="2:21" ht="14.4" thickBot="1" x14ac:dyDescent="0.3">
      <c r="D26" s="71" t="s">
        <v>164</v>
      </c>
      <c r="E26" s="67"/>
      <c r="F26" s="67"/>
      <c r="G26" s="68"/>
    </row>
    <row r="27" spans="2:21" ht="13.8" thickBot="1" x14ac:dyDescent="0.3">
      <c r="B27" s="78">
        <f>'Fiche de vérification'!B43</f>
        <v>26</v>
      </c>
      <c r="D27" s="512" t="s">
        <v>157</v>
      </c>
      <c r="E27" s="513"/>
      <c r="F27" s="70">
        <v>10</v>
      </c>
      <c r="G27" s="69" t="s">
        <v>7</v>
      </c>
    </row>
    <row r="28" spans="2:21" x14ac:dyDescent="0.25">
      <c r="B28" s="510">
        <f>'Fiche de vérification'!B69</f>
        <v>48</v>
      </c>
      <c r="D28" s="541" t="s">
        <v>186</v>
      </c>
      <c r="E28" s="542"/>
      <c r="F28" s="533">
        <v>5</v>
      </c>
      <c r="G28" s="534"/>
    </row>
    <row r="29" spans="2:21" x14ac:dyDescent="0.25">
      <c r="B29" s="514"/>
      <c r="D29" s="531" t="s">
        <v>187</v>
      </c>
      <c r="E29" s="532"/>
      <c r="F29" s="535">
        <v>15</v>
      </c>
      <c r="G29" s="536"/>
    </row>
    <row r="30" spans="2:21" x14ac:dyDescent="0.25">
      <c r="B30" s="514"/>
      <c r="D30" s="531" t="s">
        <v>188</v>
      </c>
      <c r="E30" s="532"/>
      <c r="F30" s="535">
        <v>20</v>
      </c>
      <c r="G30" s="536"/>
    </row>
    <row r="31" spans="2:21" ht="13.8" thickBot="1" x14ac:dyDescent="0.3">
      <c r="B31" s="511"/>
      <c r="D31" s="518" t="s">
        <v>189</v>
      </c>
      <c r="E31" s="519"/>
      <c r="F31" s="543" t="s">
        <v>158</v>
      </c>
      <c r="G31" s="544"/>
    </row>
    <row r="32" spans="2:21" ht="13.8" thickBot="1" x14ac:dyDescent="0.3"/>
    <row r="33" spans="2:48" x14ac:dyDescent="0.25">
      <c r="B33" s="510">
        <f>'Fiche de vérification'!B45</f>
        <v>28</v>
      </c>
      <c r="D33" s="515" t="s">
        <v>159</v>
      </c>
      <c r="E33" s="516"/>
      <c r="F33" s="516"/>
      <c r="G33" s="517"/>
      <c r="H33" s="20"/>
      <c r="I33" s="20"/>
      <c r="J33" s="20"/>
      <c r="K33" s="20"/>
      <c r="L33" s="20"/>
      <c r="M33" s="20"/>
      <c r="N33" s="20"/>
      <c r="O33" s="20"/>
      <c r="P33" s="20"/>
      <c r="Q33" s="20"/>
      <c r="R33" s="20"/>
      <c r="V33" s="20"/>
      <c r="W33" s="20"/>
      <c r="X33" s="20"/>
      <c r="Y33" s="20"/>
      <c r="Z33" s="20"/>
      <c r="AA33" s="20"/>
      <c r="AB33" s="20"/>
      <c r="AC33" s="20"/>
      <c r="AD33" s="20"/>
      <c r="AE33" s="20"/>
      <c r="AF33" s="20"/>
      <c r="AH33" s="20"/>
      <c r="AI33" s="20"/>
      <c r="AJ33" s="20"/>
      <c r="AK33" s="20"/>
      <c r="AL33" s="20"/>
      <c r="AM33" s="20"/>
      <c r="AN33" s="20"/>
      <c r="AO33" s="20"/>
      <c r="AP33" s="20"/>
      <c r="AQ33" s="20"/>
      <c r="AR33" s="20"/>
      <c r="AS33" s="20"/>
      <c r="AT33" s="20"/>
      <c r="AV33" s="20"/>
    </row>
    <row r="34" spans="2:48" ht="13.8" thickBot="1" x14ac:dyDescent="0.3">
      <c r="B34" s="511"/>
      <c r="D34" s="518" t="s">
        <v>160</v>
      </c>
      <c r="E34" s="519"/>
      <c r="F34" s="79">
        <v>6</v>
      </c>
      <c r="G34" s="80" t="s">
        <v>93</v>
      </c>
      <c r="H34" s="20"/>
      <c r="I34" s="20"/>
      <c r="J34" s="20"/>
      <c r="K34" s="20"/>
      <c r="L34" s="20"/>
      <c r="M34" s="20"/>
      <c r="N34" s="20"/>
      <c r="O34" s="20"/>
      <c r="P34" s="20"/>
      <c r="Q34" s="20"/>
      <c r="R34" s="20"/>
      <c r="V34" s="20"/>
      <c r="W34" s="20"/>
      <c r="X34" s="20"/>
      <c r="Y34" s="20"/>
      <c r="Z34" s="20"/>
      <c r="AA34" s="20"/>
      <c r="AB34" s="20"/>
      <c r="AC34" s="20"/>
      <c r="AD34" s="20"/>
      <c r="AE34" s="20"/>
      <c r="AF34" s="20"/>
      <c r="AH34" s="20"/>
      <c r="AI34" s="20"/>
      <c r="AJ34" s="20"/>
      <c r="AK34" s="20"/>
      <c r="AL34" s="20"/>
      <c r="AM34" s="20"/>
      <c r="AN34" s="20"/>
      <c r="AO34" s="20"/>
      <c r="AP34" s="20"/>
      <c r="AQ34" s="20"/>
      <c r="AR34" s="20"/>
      <c r="AS34" s="20"/>
      <c r="AT34" s="20"/>
      <c r="AV34" s="20"/>
    </row>
    <row r="35" spans="2:48" ht="13.8" thickBot="1" x14ac:dyDescent="0.3">
      <c r="D35" s="1"/>
      <c r="E35" s="1"/>
      <c r="F35" s="1"/>
      <c r="G35" s="1"/>
      <c r="H35" s="20"/>
      <c r="I35" s="20"/>
      <c r="J35" s="20"/>
      <c r="K35" s="20"/>
      <c r="L35" s="20"/>
      <c r="M35" s="20"/>
      <c r="N35" s="20"/>
      <c r="O35" s="20"/>
      <c r="P35" s="20"/>
      <c r="Q35" s="20"/>
      <c r="R35" s="20"/>
      <c r="V35" s="20"/>
      <c r="W35" s="20"/>
      <c r="X35" s="20"/>
      <c r="Y35" s="20"/>
      <c r="Z35" s="20"/>
      <c r="AA35" s="20"/>
      <c r="AB35" s="20"/>
      <c r="AC35" s="20"/>
      <c r="AD35" s="20"/>
      <c r="AE35" s="20"/>
      <c r="AF35" s="20"/>
      <c r="AH35" s="20"/>
      <c r="AI35" s="20"/>
      <c r="AJ35" s="20"/>
      <c r="AK35" s="20"/>
      <c r="AL35" s="20"/>
      <c r="AM35" s="20"/>
      <c r="AN35" s="20"/>
      <c r="AO35" s="20"/>
      <c r="AP35" s="20"/>
      <c r="AQ35" s="20"/>
      <c r="AR35" s="20"/>
      <c r="AS35" s="20"/>
      <c r="AT35" s="20"/>
      <c r="AV35" s="20"/>
    </row>
    <row r="36" spans="2:48" ht="14.4" thickBot="1" x14ac:dyDescent="0.3">
      <c r="D36" s="71" t="s">
        <v>165</v>
      </c>
      <c r="E36" s="67"/>
      <c r="F36" s="67"/>
      <c r="G36" s="68"/>
      <c r="H36" s="21"/>
      <c r="I36" s="21"/>
      <c r="J36" s="21"/>
      <c r="K36" s="21"/>
      <c r="L36" s="21"/>
      <c r="M36" s="21"/>
      <c r="N36" s="21"/>
      <c r="O36" s="21"/>
      <c r="P36" s="21"/>
      <c r="Q36" s="21"/>
      <c r="R36" s="21"/>
      <c r="V36" s="21"/>
      <c r="W36" s="21"/>
      <c r="X36" s="21"/>
      <c r="Y36" s="21"/>
      <c r="Z36" s="21"/>
      <c r="AA36" s="21"/>
      <c r="AB36" s="21"/>
      <c r="AC36" s="21"/>
      <c r="AD36" s="21"/>
      <c r="AE36" s="21"/>
      <c r="AF36" s="21"/>
      <c r="AG36" s="20"/>
      <c r="AH36" s="21"/>
      <c r="AI36" s="21"/>
      <c r="AJ36" s="21"/>
      <c r="AK36" s="21"/>
      <c r="AL36" s="21"/>
      <c r="AM36" s="21"/>
      <c r="AN36" s="21"/>
      <c r="AO36" s="21"/>
      <c r="AP36" s="21"/>
      <c r="AQ36" s="21"/>
      <c r="AR36" s="21"/>
      <c r="AS36" s="21"/>
      <c r="AT36" s="21"/>
      <c r="AU36" s="20"/>
      <c r="AV36" s="21"/>
    </row>
    <row r="37" spans="2:48" ht="13.8" thickBot="1" x14ac:dyDescent="0.3">
      <c r="B37" s="75">
        <f>'Fiche de vérification'!B56</f>
        <v>36</v>
      </c>
      <c r="D37" s="512" t="s">
        <v>32</v>
      </c>
      <c r="E37" s="513"/>
      <c r="F37" s="70">
        <v>2</v>
      </c>
      <c r="G37" s="69" t="s">
        <v>10</v>
      </c>
      <c r="H37" s="21"/>
      <c r="I37" s="21"/>
      <c r="J37" s="21"/>
      <c r="K37" s="21"/>
      <c r="L37" s="21"/>
      <c r="M37" s="21"/>
      <c r="N37" s="21"/>
      <c r="O37" s="21"/>
      <c r="P37" s="21"/>
      <c r="Q37" s="21"/>
      <c r="R37" s="21"/>
      <c r="V37" s="21"/>
      <c r="W37" s="21"/>
      <c r="X37" s="21"/>
      <c r="Y37" s="21"/>
      <c r="Z37" s="21"/>
      <c r="AA37" s="21"/>
      <c r="AB37" s="21"/>
      <c r="AC37" s="21"/>
      <c r="AD37" s="21"/>
      <c r="AE37" s="21"/>
      <c r="AF37" s="21"/>
      <c r="AG37" s="20"/>
      <c r="AH37" s="21"/>
      <c r="AI37" s="21"/>
      <c r="AJ37" s="21"/>
      <c r="AK37" s="21"/>
      <c r="AL37" s="21"/>
      <c r="AM37" s="21"/>
      <c r="AN37" s="21"/>
      <c r="AO37" s="21"/>
      <c r="AP37" s="21"/>
      <c r="AQ37" s="21"/>
      <c r="AR37" s="21"/>
      <c r="AS37" s="21"/>
      <c r="AT37" s="21"/>
      <c r="AU37" s="20"/>
      <c r="AV37" s="21"/>
    </row>
    <row r="38" spans="2:48" ht="13.8" thickBot="1" x14ac:dyDescent="0.3">
      <c r="B38" s="75">
        <f>'Fiche de vérification'!B57</f>
        <v>37</v>
      </c>
      <c r="D38" s="512" t="s">
        <v>31</v>
      </c>
      <c r="E38" s="513"/>
      <c r="F38" s="70">
        <v>3</v>
      </c>
      <c r="G38" s="69" t="s">
        <v>10</v>
      </c>
      <c r="H38" s="21"/>
      <c r="I38" s="21"/>
      <c r="J38" s="21"/>
      <c r="K38" s="21"/>
      <c r="L38" s="21"/>
      <c r="M38" s="21"/>
      <c r="N38" s="21"/>
      <c r="O38" s="21"/>
      <c r="P38" s="21"/>
      <c r="Q38" s="21"/>
      <c r="R38" s="21"/>
      <c r="V38" s="21"/>
      <c r="W38" s="21"/>
      <c r="X38" s="21"/>
      <c r="Y38" s="21"/>
      <c r="Z38" s="21"/>
      <c r="AA38" s="21"/>
      <c r="AB38" s="21"/>
      <c r="AC38" s="21"/>
      <c r="AD38" s="21"/>
      <c r="AE38" s="21"/>
      <c r="AF38" s="21"/>
      <c r="AG38" s="20"/>
      <c r="AH38" s="21"/>
      <c r="AI38" s="21"/>
      <c r="AJ38" s="21"/>
      <c r="AK38" s="21"/>
      <c r="AL38" s="21"/>
      <c r="AM38" s="21"/>
      <c r="AN38" s="21"/>
      <c r="AO38" s="21"/>
      <c r="AP38" s="21"/>
      <c r="AQ38" s="21"/>
      <c r="AR38" s="21"/>
      <c r="AS38" s="21"/>
      <c r="AT38" s="21"/>
      <c r="AU38" s="20"/>
      <c r="AV38" s="21"/>
    </row>
    <row r="39" spans="2:48" x14ac:dyDescent="0.25">
      <c r="B39" s="510">
        <f>'Fiche de vérification'!B60</f>
        <v>40</v>
      </c>
      <c r="D39" s="515" t="s">
        <v>170</v>
      </c>
      <c r="E39" s="516"/>
      <c r="F39" s="112">
        <v>10</v>
      </c>
      <c r="G39" s="113" t="s">
        <v>11</v>
      </c>
      <c r="H39" s="21"/>
      <c r="I39" s="21"/>
      <c r="J39" s="21"/>
      <c r="K39" s="21"/>
      <c r="L39" s="21"/>
      <c r="M39" s="21"/>
      <c r="N39" s="21"/>
      <c r="O39" s="21"/>
      <c r="P39" s="21"/>
      <c r="Q39" s="21"/>
      <c r="R39" s="21"/>
      <c r="V39" s="21"/>
      <c r="W39" s="21"/>
      <c r="X39" s="21"/>
      <c r="Y39" s="21"/>
      <c r="Z39" s="21"/>
      <c r="AA39" s="21"/>
      <c r="AB39" s="21"/>
      <c r="AC39" s="21"/>
      <c r="AD39" s="21"/>
      <c r="AE39" s="21"/>
      <c r="AF39" s="21"/>
      <c r="AG39" s="20"/>
      <c r="AH39" s="21"/>
      <c r="AI39" s="21"/>
      <c r="AJ39" s="21"/>
      <c r="AK39" s="21"/>
      <c r="AL39" s="21"/>
      <c r="AM39" s="21"/>
      <c r="AN39" s="21"/>
      <c r="AO39" s="21"/>
      <c r="AP39" s="21"/>
      <c r="AQ39" s="21"/>
      <c r="AR39" s="21"/>
      <c r="AS39" s="21"/>
      <c r="AT39" s="21"/>
      <c r="AU39" s="20"/>
      <c r="AV39" s="21"/>
    </row>
    <row r="40" spans="2:48" ht="13.8" thickBot="1" x14ac:dyDescent="0.3">
      <c r="B40" s="511"/>
      <c r="D40" s="520" t="s">
        <v>171</v>
      </c>
      <c r="E40" s="521"/>
      <c r="F40" s="114">
        <v>25</v>
      </c>
      <c r="G40" s="115" t="s">
        <v>11</v>
      </c>
      <c r="H40" s="21"/>
      <c r="I40" s="21"/>
      <c r="J40" s="21"/>
      <c r="K40" s="21"/>
      <c r="L40" s="21"/>
      <c r="M40" s="21"/>
      <c r="N40" s="21"/>
      <c r="O40" s="21"/>
      <c r="P40" s="21"/>
      <c r="Q40" s="21"/>
      <c r="R40" s="21"/>
      <c r="V40" s="21"/>
      <c r="W40" s="21"/>
      <c r="X40" s="21"/>
      <c r="Y40" s="21"/>
      <c r="Z40" s="21"/>
      <c r="AA40" s="21"/>
      <c r="AB40" s="21"/>
      <c r="AC40" s="21"/>
      <c r="AD40" s="21"/>
      <c r="AE40" s="21"/>
      <c r="AF40" s="21"/>
      <c r="AG40" s="20"/>
      <c r="AH40" s="21"/>
      <c r="AI40" s="21"/>
      <c r="AJ40" s="21"/>
      <c r="AK40" s="21"/>
      <c r="AL40" s="21"/>
      <c r="AM40" s="21"/>
      <c r="AN40" s="21"/>
      <c r="AO40" s="21"/>
      <c r="AP40" s="21"/>
      <c r="AQ40" s="21"/>
      <c r="AR40" s="21"/>
      <c r="AS40" s="21"/>
      <c r="AT40" s="21"/>
      <c r="AU40" s="20"/>
      <c r="AV40" s="21"/>
    </row>
    <row r="41" spans="2:48" ht="13.8" thickBot="1" x14ac:dyDescent="0.3">
      <c r="B41" s="75">
        <f>'Fiche de vérification'!B65</f>
        <v>44</v>
      </c>
      <c r="D41" s="512" t="s">
        <v>33</v>
      </c>
      <c r="E41" s="513"/>
      <c r="F41" s="70">
        <v>70</v>
      </c>
      <c r="G41" s="69" t="s">
        <v>7</v>
      </c>
      <c r="AG41" s="21"/>
      <c r="AU41" s="21"/>
    </row>
    <row r="42" spans="2:48" ht="13.8" thickBot="1" x14ac:dyDescent="0.3">
      <c r="B42" s="75">
        <f>'Fiche de vérification'!B66</f>
        <v>45</v>
      </c>
      <c r="D42" s="512" t="s">
        <v>173</v>
      </c>
      <c r="E42" s="513"/>
      <c r="F42" s="70">
        <v>5</v>
      </c>
      <c r="G42" s="69" t="s">
        <v>10</v>
      </c>
      <c r="S42" s="20"/>
      <c r="T42" s="20"/>
      <c r="U42" s="20"/>
    </row>
    <row r="43" spans="2:48" ht="13.8" thickBot="1" x14ac:dyDescent="0.3">
      <c r="B43" s="75">
        <f>'Fiche de vérification'!B71</f>
        <v>50</v>
      </c>
      <c r="D43" s="512" t="s">
        <v>161</v>
      </c>
      <c r="E43" s="513"/>
      <c r="F43" s="70">
        <v>4</v>
      </c>
      <c r="G43" s="69" t="s">
        <v>8</v>
      </c>
      <c r="S43" s="20"/>
      <c r="T43" s="20"/>
      <c r="U43" s="20"/>
    </row>
    <row r="44" spans="2:48" ht="13.8" thickBot="1" x14ac:dyDescent="0.3">
      <c r="B44" s="75">
        <f>'Fiche de vérification'!B78</f>
        <v>57</v>
      </c>
      <c r="D44" s="512" t="s">
        <v>162</v>
      </c>
      <c r="E44" s="513"/>
      <c r="F44" s="70">
        <v>30</v>
      </c>
      <c r="G44" s="69" t="s">
        <v>108</v>
      </c>
      <c r="S44" s="20"/>
      <c r="T44" s="20"/>
      <c r="U44" s="20"/>
    </row>
    <row r="45" spans="2:48" ht="13.8" thickBot="1" x14ac:dyDescent="0.3">
      <c r="D45" s="1"/>
      <c r="E45" s="1"/>
      <c r="F45" s="1"/>
      <c r="G45" s="1"/>
      <c r="S45" s="21"/>
      <c r="T45" s="21"/>
      <c r="U45" s="21"/>
    </row>
    <row r="46" spans="2:48" ht="14.4" thickBot="1" x14ac:dyDescent="0.3">
      <c r="D46" s="71" t="s">
        <v>166</v>
      </c>
      <c r="E46" s="67"/>
      <c r="F46" s="67"/>
      <c r="G46" s="68"/>
    </row>
    <row r="47" spans="2:48" ht="13.8" thickBot="1" x14ac:dyDescent="0.3">
      <c r="B47" s="75">
        <f>'Fiche de vérification'!B81</f>
        <v>59</v>
      </c>
      <c r="D47" s="512" t="s">
        <v>37</v>
      </c>
      <c r="E47" s="513"/>
      <c r="F47" s="70">
        <v>10</v>
      </c>
      <c r="G47" s="69" t="s">
        <v>7</v>
      </c>
    </row>
    <row r="48" spans="2:48" ht="13.8" thickBot="1" x14ac:dyDescent="0.3">
      <c r="B48" s="75">
        <f>'Fiche de vérification'!B82</f>
        <v>60</v>
      </c>
      <c r="D48" s="512" t="s">
        <v>36</v>
      </c>
      <c r="E48" s="513"/>
      <c r="F48" s="70">
        <v>2</v>
      </c>
      <c r="G48" s="69" t="s">
        <v>7</v>
      </c>
    </row>
    <row r="49" spans="2:7" ht="13.8" thickBot="1" x14ac:dyDescent="0.3">
      <c r="B49" s="75">
        <f>'Fiche de vérification'!B84</f>
        <v>62</v>
      </c>
      <c r="D49" s="512" t="s">
        <v>35</v>
      </c>
      <c r="E49" s="513"/>
      <c r="F49" s="70">
        <v>4</v>
      </c>
      <c r="G49" s="69" t="s">
        <v>10</v>
      </c>
    </row>
    <row r="50" spans="2:7" ht="13.8" thickBot="1" x14ac:dyDescent="0.3">
      <c r="B50" s="75">
        <f>'Fiche de vérification'!B85</f>
        <v>63</v>
      </c>
      <c r="D50" s="512" t="s">
        <v>110</v>
      </c>
      <c r="E50" s="513"/>
      <c r="F50" s="70">
        <v>6</v>
      </c>
      <c r="G50" s="69" t="s">
        <v>10</v>
      </c>
    </row>
    <row r="51" spans="2:7" ht="13.8" thickBot="1" x14ac:dyDescent="0.3">
      <c r="D51" s="9"/>
      <c r="E51" s="9"/>
      <c r="F51" s="2"/>
      <c r="G51" s="1"/>
    </row>
    <row r="52" spans="2:7" ht="14.4" thickBot="1" x14ac:dyDescent="0.3">
      <c r="D52" s="71" t="s">
        <v>62</v>
      </c>
      <c r="E52" s="67"/>
      <c r="F52" s="67"/>
      <c r="G52" s="68"/>
    </row>
    <row r="53" spans="2:7" x14ac:dyDescent="0.25">
      <c r="B53" s="510">
        <f>'Fiche de vérification'!B106</f>
        <v>80</v>
      </c>
      <c r="D53" s="515" t="s">
        <v>230</v>
      </c>
      <c r="E53" s="516"/>
      <c r="F53" s="112">
        <v>80</v>
      </c>
      <c r="G53" s="113" t="s">
        <v>232</v>
      </c>
    </row>
    <row r="54" spans="2:7" ht="13.8" thickBot="1" x14ac:dyDescent="0.3">
      <c r="B54" s="511"/>
      <c r="D54" s="520" t="s">
        <v>231</v>
      </c>
      <c r="E54" s="521"/>
      <c r="F54" s="114">
        <v>120</v>
      </c>
      <c r="G54" s="115" t="s">
        <v>232</v>
      </c>
    </row>
    <row r="56" spans="2:7" x14ac:dyDescent="0.25">
      <c r="D56" s="538" t="s">
        <v>41</v>
      </c>
      <c r="E56" s="538"/>
      <c r="F56" s="538"/>
      <c r="G56" s="538"/>
    </row>
    <row r="57" spans="2:7" x14ac:dyDescent="0.25">
      <c r="D57" s="19"/>
      <c r="E57" s="19"/>
      <c r="F57" s="19"/>
      <c r="G57" s="19"/>
    </row>
    <row r="58" spans="2:7" x14ac:dyDescent="0.25">
      <c r="D58" s="5"/>
      <c r="E58" s="1"/>
      <c r="F58" s="2"/>
      <c r="G58" s="1"/>
    </row>
  </sheetData>
  <sheetProtection algorithmName="SHA-512" hashValue="hPXAFOeU7q2ObIHwa6NW1RpnX17WNeRK2a7omFAXMtVGIHZedYKDuphaCen33zSB+kDzGDCChD/K9zkBtpFWHQ==" saltValue="+dcWVyAKh84duhtp3g1b0A==" spinCount="100000" sheet="1" selectLockedCells="1" selectUnlockedCells="1"/>
  <mergeCells count="41">
    <mergeCell ref="B53:B54"/>
    <mergeCell ref="D56:G56"/>
    <mergeCell ref="D21:E21"/>
    <mergeCell ref="D20:E20"/>
    <mergeCell ref="D27:E27"/>
    <mergeCell ref="D28:E28"/>
    <mergeCell ref="D29:E29"/>
    <mergeCell ref="D31:E31"/>
    <mergeCell ref="F31:G31"/>
    <mergeCell ref="D49:E49"/>
    <mergeCell ref="D47:E47"/>
    <mergeCell ref="D48:E48"/>
    <mergeCell ref="D50:E50"/>
    <mergeCell ref="D43:E43"/>
    <mergeCell ref="D44:E44"/>
    <mergeCell ref="D53:E53"/>
    <mergeCell ref="D54:E54"/>
    <mergeCell ref="M3:AS3"/>
    <mergeCell ref="D19:G19"/>
    <mergeCell ref="D8:G8"/>
    <mergeCell ref="D9:G9"/>
    <mergeCell ref="D30:E30"/>
    <mergeCell ref="F28:G28"/>
    <mergeCell ref="F29:G29"/>
    <mergeCell ref="F30:G30"/>
    <mergeCell ref="D5:G5"/>
    <mergeCell ref="B39:B40"/>
    <mergeCell ref="D42:E42"/>
    <mergeCell ref="B8:B9"/>
    <mergeCell ref="B22:B23"/>
    <mergeCell ref="B28:B31"/>
    <mergeCell ref="B33:B34"/>
    <mergeCell ref="D33:G33"/>
    <mergeCell ref="D34:E34"/>
    <mergeCell ref="B10:B11"/>
    <mergeCell ref="B13:B18"/>
    <mergeCell ref="D41:E41"/>
    <mergeCell ref="D37:E37"/>
    <mergeCell ref="D38:E38"/>
    <mergeCell ref="D39:E39"/>
    <mergeCell ref="D40:E40"/>
  </mergeCells>
  <printOptions horizontalCentered="1"/>
  <pageMargins left="0" right="0" top="0.39374999999999999" bottom="0" header="0.51180555555555551" footer="0.51180555555555551"/>
  <pageSetup paperSize="9" firstPageNumber="0" orientation="portrait" horizontalDpi="300" verticalDpi="300"/>
  <headerFooter alignWithMargins="0"/>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54"/>
  <sheetViews>
    <sheetView topLeftCell="A98" zoomScale="85" zoomScaleNormal="85" workbookViewId="0">
      <selection activeCell="H104" sqref="H104:H115"/>
    </sheetView>
  </sheetViews>
  <sheetFormatPr baseColWidth="10" defaultColWidth="11.44140625" defaultRowHeight="14.4" x14ac:dyDescent="0.25"/>
  <cols>
    <col min="1" max="1" width="36.44140625" style="122" customWidth="1"/>
    <col min="2" max="2" width="11.44140625" style="122" customWidth="1"/>
    <col min="3" max="3" width="14.88671875" style="122" customWidth="1"/>
    <col min="4" max="4" width="15.44140625" style="122" customWidth="1"/>
    <col min="5" max="5" width="21.109375" style="122" customWidth="1"/>
    <col min="6" max="6" width="19" style="122" customWidth="1"/>
    <col min="7" max="7" width="16.5546875" style="122" customWidth="1"/>
    <col min="8" max="8" width="39.109375" style="238" customWidth="1"/>
    <col min="9" max="9" width="120.44140625" style="153" customWidth="1"/>
    <col min="10" max="16384" width="11.44140625" style="122"/>
  </cols>
  <sheetData>
    <row r="1" spans="1:9" ht="29.4" thickBot="1" x14ac:dyDescent="0.3">
      <c r="A1" s="120"/>
      <c r="B1" s="120"/>
      <c r="C1" s="120"/>
      <c r="D1" s="120"/>
      <c r="E1" s="120"/>
      <c r="F1" s="120"/>
      <c r="G1" s="120"/>
      <c r="H1" s="252" t="s">
        <v>408</v>
      </c>
      <c r="I1" s="121"/>
    </row>
    <row r="2" spans="1:9" ht="15.6" x14ac:dyDescent="0.25">
      <c r="A2" s="163"/>
      <c r="B2" s="164"/>
      <c r="C2" s="164"/>
      <c r="D2" s="164"/>
      <c r="E2" s="164"/>
      <c r="F2" s="164"/>
      <c r="G2" s="165"/>
      <c r="H2" s="578" t="s">
        <v>409</v>
      </c>
      <c r="I2" s="121"/>
    </row>
    <row r="3" spans="1:9" ht="15.6" x14ac:dyDescent="0.25">
      <c r="A3" s="166"/>
      <c r="B3" s="167"/>
      <c r="C3" s="167"/>
      <c r="D3" s="167"/>
      <c r="E3" s="167"/>
      <c r="F3" s="167"/>
      <c r="G3" s="168"/>
      <c r="H3" s="579"/>
      <c r="I3" s="121" t="s">
        <v>457</v>
      </c>
    </row>
    <row r="4" spans="1:9" ht="15.6" x14ac:dyDescent="0.25">
      <c r="A4" s="169" t="s">
        <v>242</v>
      </c>
      <c r="B4" s="167"/>
      <c r="C4" s="167"/>
      <c r="D4" s="167"/>
      <c r="E4" s="167"/>
      <c r="F4" s="167"/>
      <c r="G4" s="168"/>
      <c r="H4" s="579"/>
      <c r="I4" s="121"/>
    </row>
    <row r="5" spans="1:9" ht="15.6" x14ac:dyDescent="0.25">
      <c r="A5" s="176" t="s">
        <v>387</v>
      </c>
      <c r="B5" s="167"/>
      <c r="C5" s="167"/>
      <c r="D5" s="167"/>
      <c r="E5" s="167"/>
      <c r="F5" s="167"/>
      <c r="G5" s="168"/>
      <c r="H5" s="579"/>
      <c r="I5" s="123"/>
    </row>
    <row r="6" spans="1:9" ht="15.6" x14ac:dyDescent="0.25">
      <c r="A6" s="169"/>
      <c r="B6" s="170"/>
      <c r="C6" s="170"/>
      <c r="D6" s="170"/>
      <c r="E6" s="170"/>
      <c r="F6" s="170"/>
      <c r="G6" s="171"/>
      <c r="H6" s="579"/>
      <c r="I6" s="124"/>
    </row>
    <row r="7" spans="1:9" ht="32.25" customHeight="1" thickBot="1" x14ac:dyDescent="0.3">
      <c r="A7" s="172"/>
      <c r="B7" s="173"/>
      <c r="C7" s="173"/>
      <c r="D7" s="174"/>
      <c r="E7" s="174"/>
      <c r="F7" s="174"/>
      <c r="G7" s="175"/>
      <c r="H7" s="580"/>
      <c r="I7" s="125" t="s">
        <v>243</v>
      </c>
    </row>
    <row r="8" spans="1:9" ht="15" thickBot="1" x14ac:dyDescent="0.3">
      <c r="I8" s="126"/>
    </row>
    <row r="9" spans="1:9" ht="15.6" x14ac:dyDescent="0.25">
      <c r="A9" s="177" t="s">
        <v>244</v>
      </c>
      <c r="B9" s="178"/>
      <c r="C9" s="178"/>
      <c r="D9" s="178"/>
      <c r="E9" s="178"/>
      <c r="F9" s="178"/>
      <c r="G9" s="370" t="s">
        <v>30</v>
      </c>
      <c r="H9" s="586" t="s">
        <v>464</v>
      </c>
      <c r="I9" s="127" t="s">
        <v>465</v>
      </c>
    </row>
    <row r="10" spans="1:9" ht="15.75" customHeight="1" x14ac:dyDescent="0.25">
      <c r="A10" s="179" t="s">
        <v>245</v>
      </c>
      <c r="B10" s="180"/>
      <c r="C10" s="180"/>
      <c r="D10" s="180"/>
      <c r="E10" s="180"/>
      <c r="F10" s="180"/>
      <c r="G10" s="371" t="s">
        <v>30</v>
      </c>
      <c r="H10" s="587"/>
      <c r="I10" s="126"/>
    </row>
    <row r="11" spans="1:9" x14ac:dyDescent="0.25">
      <c r="A11" s="184" t="s">
        <v>246</v>
      </c>
      <c r="B11" s="185"/>
      <c r="C11" s="185"/>
      <c r="D11" s="185"/>
      <c r="E11" s="185"/>
      <c r="F11" s="185"/>
      <c r="G11" s="369"/>
      <c r="H11" s="587"/>
      <c r="I11" s="126" t="s">
        <v>247</v>
      </c>
    </row>
    <row r="12" spans="1:9" ht="15" thickBot="1" x14ac:dyDescent="0.3">
      <c r="A12" s="181" t="s">
        <v>248</v>
      </c>
      <c r="B12" s="182"/>
      <c r="C12" s="182"/>
      <c r="D12" s="182"/>
      <c r="E12" s="182"/>
      <c r="F12" s="182"/>
      <c r="G12" s="183"/>
      <c r="H12" s="588"/>
      <c r="I12" s="126" t="s">
        <v>249</v>
      </c>
    </row>
    <row r="13" spans="1:9" ht="15" thickBot="1" x14ac:dyDescent="0.3">
      <c r="A13" s="332"/>
      <c r="B13" s="332"/>
      <c r="C13" s="332"/>
      <c r="D13" s="332"/>
      <c r="E13" s="332"/>
      <c r="I13" s="128"/>
    </row>
    <row r="14" spans="1:9" ht="14.4" customHeight="1" x14ac:dyDescent="0.25">
      <c r="A14" s="554" t="s">
        <v>250</v>
      </c>
      <c r="B14" s="555"/>
      <c r="C14" s="555"/>
      <c r="D14" s="555"/>
      <c r="E14" s="555"/>
      <c r="F14" s="555"/>
      <c r="G14" s="556"/>
      <c r="I14" s="128"/>
    </row>
    <row r="15" spans="1:9" ht="31.2" x14ac:dyDescent="0.25">
      <c r="A15" s="272" t="s">
        <v>251</v>
      </c>
      <c r="B15" s="550"/>
      <c r="C15" s="571"/>
      <c r="D15" s="372" t="s">
        <v>415</v>
      </c>
      <c r="E15" s="550"/>
      <c r="F15" s="572"/>
      <c r="G15" s="551"/>
      <c r="I15" s="125" t="s">
        <v>252</v>
      </c>
    </row>
    <row r="16" spans="1:9" ht="32.4" customHeight="1" x14ac:dyDescent="0.25">
      <c r="A16" s="273" t="s">
        <v>253</v>
      </c>
      <c r="B16" s="546"/>
      <c r="C16" s="547"/>
      <c r="D16" s="275" t="s">
        <v>416</v>
      </c>
      <c r="E16" s="546"/>
      <c r="F16" s="573"/>
      <c r="G16" s="552"/>
      <c r="I16" s="129" t="s">
        <v>254</v>
      </c>
    </row>
    <row r="17" spans="1:9" ht="15" thickBot="1" x14ac:dyDescent="0.3">
      <c r="A17" s="189" t="s">
        <v>439</v>
      </c>
      <c r="B17" s="298" t="s">
        <v>30</v>
      </c>
      <c r="C17" s="388"/>
      <c r="D17" s="274" t="s">
        <v>255</v>
      </c>
      <c r="E17" s="548"/>
      <c r="F17" s="574"/>
      <c r="G17" s="553"/>
      <c r="I17" s="123" t="s">
        <v>466</v>
      </c>
    </row>
    <row r="18" spans="1:9" ht="15" thickBot="1" x14ac:dyDescent="0.3">
      <c r="I18" s="123" t="s">
        <v>468</v>
      </c>
    </row>
    <row r="19" spans="1:9" ht="15.6" x14ac:dyDescent="0.25">
      <c r="A19" s="554" t="s">
        <v>256</v>
      </c>
      <c r="B19" s="555"/>
      <c r="C19" s="555"/>
      <c r="D19" s="555"/>
      <c r="E19" s="555"/>
      <c r="F19" s="555"/>
      <c r="G19" s="556"/>
      <c r="I19" s="123" t="s">
        <v>472</v>
      </c>
    </row>
    <row r="20" spans="1:9" x14ac:dyDescent="0.25">
      <c r="A20" s="186"/>
      <c r="B20" s="190" t="s">
        <v>391</v>
      </c>
      <c r="C20" s="279"/>
      <c r="D20" s="279" t="s">
        <v>257</v>
      </c>
      <c r="E20" s="279" t="s">
        <v>258</v>
      </c>
      <c r="F20" s="559" t="s">
        <v>392</v>
      </c>
      <c r="G20" s="560"/>
      <c r="I20" s="123" t="s">
        <v>473</v>
      </c>
    </row>
    <row r="21" spans="1:9" ht="26.4" x14ac:dyDescent="0.25">
      <c r="A21" s="187" t="s">
        <v>442</v>
      </c>
      <c r="B21" s="591">
        <f>IF('Fiche de vérification'!E8="saisir","",'Fiche de vérification'!E8)</f>
        <v>0</v>
      </c>
      <c r="C21" s="592"/>
      <c r="D21" s="294"/>
      <c r="E21" s="437">
        <f>IF('Fiche de vérification'!G8="saisir","",'Fiche de vérification'!G8)</f>
        <v>0</v>
      </c>
      <c r="F21" s="550"/>
      <c r="G21" s="551"/>
      <c r="H21" s="239"/>
      <c r="I21" s="123" t="s">
        <v>459</v>
      </c>
    </row>
    <row r="22" spans="1:9" x14ac:dyDescent="0.25">
      <c r="A22" s="186" t="s">
        <v>259</v>
      </c>
      <c r="B22" s="546"/>
      <c r="C22" s="547"/>
      <c r="D22" s="295"/>
      <c r="E22" s="295"/>
      <c r="F22" s="546"/>
      <c r="G22" s="552"/>
      <c r="H22" s="239"/>
      <c r="I22" s="126"/>
    </row>
    <row r="23" spans="1:9" x14ac:dyDescent="0.25">
      <c r="A23" s="187" t="s">
        <v>441</v>
      </c>
      <c r="B23" s="550"/>
      <c r="C23" s="571"/>
      <c r="D23" s="294"/>
      <c r="E23" s="294"/>
      <c r="F23" s="550"/>
      <c r="G23" s="551"/>
      <c r="H23" s="239"/>
      <c r="I23" s="130" t="s">
        <v>260</v>
      </c>
    </row>
    <row r="24" spans="1:9" x14ac:dyDescent="0.25">
      <c r="A24" s="186" t="s">
        <v>261</v>
      </c>
      <c r="B24" s="546"/>
      <c r="C24" s="547"/>
      <c r="D24" s="295"/>
      <c r="E24" s="295"/>
      <c r="F24" s="546"/>
      <c r="G24" s="552"/>
      <c r="H24" s="239"/>
      <c r="I24" s="123" t="s">
        <v>262</v>
      </c>
    </row>
    <row r="25" spans="1:9" ht="15" thickBot="1" x14ac:dyDescent="0.3">
      <c r="A25" s="188" t="s">
        <v>263</v>
      </c>
      <c r="B25" s="548"/>
      <c r="C25" s="549"/>
      <c r="D25" s="298"/>
      <c r="E25" s="298"/>
      <c r="F25" s="548"/>
      <c r="G25" s="553"/>
      <c r="H25" s="239"/>
      <c r="I25" s="131"/>
    </row>
    <row r="26" spans="1:9" ht="15" thickBot="1" x14ac:dyDescent="0.3">
      <c r="I26" s="131"/>
    </row>
    <row r="27" spans="1:9" ht="14.4" customHeight="1" x14ac:dyDescent="0.25">
      <c r="A27" s="554" t="s">
        <v>264</v>
      </c>
      <c r="B27" s="555"/>
      <c r="C27" s="555"/>
      <c r="D27" s="555"/>
      <c r="E27" s="555"/>
      <c r="F27" s="555"/>
      <c r="G27" s="556"/>
      <c r="I27" s="131"/>
    </row>
    <row r="28" spans="1:9" x14ac:dyDescent="0.25">
      <c r="A28" s="186" t="s">
        <v>265</v>
      </c>
      <c r="B28" s="443"/>
      <c r="C28" s="374"/>
      <c r="D28" s="563"/>
      <c r="E28" s="564"/>
      <c r="F28" s="564"/>
      <c r="G28" s="565"/>
      <c r="H28" s="239"/>
      <c r="I28" s="128"/>
    </row>
    <row r="29" spans="1:9" x14ac:dyDescent="0.25">
      <c r="A29" s="187" t="s">
        <v>266</v>
      </c>
      <c r="B29" s="295"/>
      <c r="C29" s="376"/>
      <c r="D29" s="561" t="s">
        <v>267</v>
      </c>
      <c r="E29" s="562"/>
      <c r="F29" s="295" t="s">
        <v>30</v>
      </c>
      <c r="G29" s="377"/>
      <c r="H29" s="239"/>
      <c r="I29" s="128"/>
    </row>
    <row r="30" spans="1:9" ht="15" thickBot="1" x14ac:dyDescent="0.3">
      <c r="A30" s="189" t="s">
        <v>268</v>
      </c>
      <c r="B30" s="298"/>
      <c r="C30" s="375"/>
      <c r="D30" s="566"/>
      <c r="E30" s="567"/>
      <c r="F30" s="567"/>
      <c r="G30" s="568"/>
      <c r="H30" s="239"/>
      <c r="I30" s="128"/>
    </row>
    <row r="31" spans="1:9" ht="15" thickBot="1" x14ac:dyDescent="0.3">
      <c r="I31" s="128"/>
    </row>
    <row r="32" spans="1:9" ht="15.6" x14ac:dyDescent="0.25">
      <c r="A32" s="333"/>
      <c r="B32" s="334" t="s">
        <v>414</v>
      </c>
      <c r="C32" s="335"/>
      <c r="D32" s="335"/>
      <c r="E32" s="336"/>
      <c r="F32" s="336"/>
      <c r="G32" s="336"/>
      <c r="H32" s="581" t="s">
        <v>410</v>
      </c>
      <c r="I32" s="128"/>
    </row>
    <row r="33" spans="1:9" s="139" customFormat="1" ht="45" customHeight="1" x14ac:dyDescent="0.25">
      <c r="A33" s="299" t="s">
        <v>270</v>
      </c>
      <c r="B33" s="280" t="s">
        <v>448</v>
      </c>
      <c r="C33" s="280" t="s">
        <v>271</v>
      </c>
      <c r="D33" s="280" t="s">
        <v>452</v>
      </c>
      <c r="E33" s="280" t="s">
        <v>460</v>
      </c>
      <c r="F33" s="281" t="s">
        <v>461</v>
      </c>
      <c r="G33" s="282"/>
      <c r="H33" s="582"/>
      <c r="I33" s="132" t="s">
        <v>279</v>
      </c>
    </row>
    <row r="34" spans="1:9" x14ac:dyDescent="0.25">
      <c r="A34" s="300"/>
      <c r="B34" s="295"/>
      <c r="C34" s="295"/>
      <c r="D34" s="295"/>
      <c r="E34" s="295"/>
      <c r="F34" s="283" t="str">
        <f>IF(B34=0,"",(D34/B34)*1000)</f>
        <v/>
      </c>
      <c r="G34" s="284"/>
      <c r="H34" s="582"/>
      <c r="I34" s="128"/>
    </row>
    <row r="35" spans="1:9" x14ac:dyDescent="0.25">
      <c r="A35" s="301"/>
      <c r="B35" s="294"/>
      <c r="C35" s="294"/>
      <c r="D35" s="294"/>
      <c r="E35" s="294"/>
      <c r="F35" s="283" t="str">
        <f>IF(B35=0,"",(D35/B35)*1000)</f>
        <v/>
      </c>
      <c r="G35" s="284"/>
      <c r="H35" s="582"/>
      <c r="I35" s="128"/>
    </row>
    <row r="36" spans="1:9" x14ac:dyDescent="0.25">
      <c r="A36" s="300"/>
      <c r="B36" s="295"/>
      <c r="C36" s="295"/>
      <c r="D36" s="295"/>
      <c r="E36" s="295"/>
      <c r="F36" s="283" t="str">
        <f t="shared" ref="F36:F50" si="0">IF(B36=0,"",(D36/B36)*1000)</f>
        <v/>
      </c>
      <c r="G36" s="284"/>
      <c r="H36" s="582"/>
      <c r="I36" s="128"/>
    </row>
    <row r="37" spans="1:9" x14ac:dyDescent="0.25">
      <c r="A37" s="301"/>
      <c r="B37" s="294"/>
      <c r="C37" s="294"/>
      <c r="D37" s="294"/>
      <c r="E37" s="294"/>
      <c r="F37" s="283" t="str">
        <f t="shared" si="0"/>
        <v/>
      </c>
      <c r="G37" s="284"/>
      <c r="H37" s="582"/>
      <c r="I37" s="128"/>
    </row>
    <row r="38" spans="1:9" x14ac:dyDescent="0.25">
      <c r="A38" s="300"/>
      <c r="B38" s="295"/>
      <c r="C38" s="295"/>
      <c r="D38" s="295"/>
      <c r="E38" s="295"/>
      <c r="F38" s="283" t="str">
        <f t="shared" si="0"/>
        <v/>
      </c>
      <c r="G38" s="284"/>
      <c r="H38" s="582"/>
      <c r="I38" s="128"/>
    </row>
    <row r="39" spans="1:9" x14ac:dyDescent="0.25">
      <c r="A39" s="301"/>
      <c r="B39" s="294"/>
      <c r="C39" s="294"/>
      <c r="D39" s="294"/>
      <c r="E39" s="294"/>
      <c r="F39" s="283" t="str">
        <f t="shared" si="0"/>
        <v/>
      </c>
      <c r="G39" s="284"/>
      <c r="H39" s="582"/>
      <c r="I39" s="128"/>
    </row>
    <row r="40" spans="1:9" x14ac:dyDescent="0.25">
      <c r="A40" s="300"/>
      <c r="B40" s="295"/>
      <c r="C40" s="295"/>
      <c r="D40" s="295"/>
      <c r="E40" s="295"/>
      <c r="F40" s="283" t="str">
        <f t="shared" si="0"/>
        <v/>
      </c>
      <c r="G40" s="284"/>
      <c r="H40" s="582"/>
      <c r="I40" s="128"/>
    </row>
    <row r="41" spans="1:9" x14ac:dyDescent="0.25">
      <c r="A41" s="301"/>
      <c r="B41" s="294"/>
      <c r="C41" s="294"/>
      <c r="D41" s="294"/>
      <c r="E41" s="294"/>
      <c r="F41" s="283" t="str">
        <f t="shared" si="0"/>
        <v/>
      </c>
      <c r="G41" s="284"/>
      <c r="H41" s="582"/>
      <c r="I41" s="128"/>
    </row>
    <row r="42" spans="1:9" x14ac:dyDescent="0.25">
      <c r="A42" s="300"/>
      <c r="B42" s="295"/>
      <c r="C42" s="295"/>
      <c r="D42" s="295"/>
      <c r="E42" s="295"/>
      <c r="F42" s="283" t="str">
        <f t="shared" si="0"/>
        <v/>
      </c>
      <c r="G42" s="284"/>
      <c r="H42" s="582"/>
      <c r="I42" s="128"/>
    </row>
    <row r="43" spans="1:9" x14ac:dyDescent="0.25">
      <c r="A43" s="301"/>
      <c r="B43" s="294"/>
      <c r="C43" s="294"/>
      <c r="D43" s="294"/>
      <c r="E43" s="294"/>
      <c r="F43" s="283" t="str">
        <f t="shared" si="0"/>
        <v/>
      </c>
      <c r="G43" s="284"/>
      <c r="H43" s="582"/>
      <c r="I43" s="128"/>
    </row>
    <row r="44" spans="1:9" x14ac:dyDescent="0.25">
      <c r="A44" s="300"/>
      <c r="B44" s="295"/>
      <c r="C44" s="295"/>
      <c r="D44" s="295"/>
      <c r="E44" s="295"/>
      <c r="F44" s="283" t="str">
        <f t="shared" si="0"/>
        <v/>
      </c>
      <c r="G44" s="284"/>
      <c r="H44" s="582"/>
      <c r="I44" s="128"/>
    </row>
    <row r="45" spans="1:9" x14ac:dyDescent="0.25">
      <c r="A45" s="301"/>
      <c r="B45" s="294"/>
      <c r="C45" s="294"/>
      <c r="D45" s="294"/>
      <c r="E45" s="294"/>
      <c r="F45" s="283" t="str">
        <f t="shared" si="0"/>
        <v/>
      </c>
      <c r="G45" s="284"/>
      <c r="H45" s="582"/>
      <c r="I45" s="128"/>
    </row>
    <row r="46" spans="1:9" x14ac:dyDescent="0.25">
      <c r="A46" s="300"/>
      <c r="B46" s="295"/>
      <c r="C46" s="295"/>
      <c r="D46" s="295"/>
      <c r="E46" s="295"/>
      <c r="F46" s="283" t="str">
        <f t="shared" si="0"/>
        <v/>
      </c>
      <c r="G46" s="284"/>
      <c r="H46" s="582"/>
      <c r="I46" s="128"/>
    </row>
    <row r="47" spans="1:9" x14ac:dyDescent="0.25">
      <c r="A47" s="301"/>
      <c r="B47" s="294"/>
      <c r="C47" s="294"/>
      <c r="D47" s="294"/>
      <c r="E47" s="294"/>
      <c r="F47" s="283" t="str">
        <f t="shared" si="0"/>
        <v/>
      </c>
      <c r="G47" s="284"/>
      <c r="H47" s="582"/>
      <c r="I47" s="128"/>
    </row>
    <row r="48" spans="1:9" x14ac:dyDescent="0.25">
      <c r="A48" s="300"/>
      <c r="B48" s="295"/>
      <c r="C48" s="295"/>
      <c r="D48" s="295"/>
      <c r="E48" s="295"/>
      <c r="F48" s="283" t="str">
        <f t="shared" si="0"/>
        <v/>
      </c>
      <c r="G48" s="284"/>
      <c r="H48" s="582"/>
      <c r="I48" s="128"/>
    </row>
    <row r="49" spans="1:9" x14ac:dyDescent="0.25">
      <c r="A49" s="301"/>
      <c r="B49" s="294"/>
      <c r="C49" s="294"/>
      <c r="D49" s="294"/>
      <c r="E49" s="294"/>
      <c r="F49" s="283" t="str">
        <f t="shared" si="0"/>
        <v/>
      </c>
      <c r="G49" s="284"/>
      <c r="H49" s="582"/>
      <c r="I49" s="128"/>
    </row>
    <row r="50" spans="1:9" ht="15" thickBot="1" x14ac:dyDescent="0.3">
      <c r="A50" s="302" t="s">
        <v>272</v>
      </c>
      <c r="B50" s="303">
        <f>SUM(B34:B49)</f>
        <v>0</v>
      </c>
      <c r="C50" s="304"/>
      <c r="D50" s="303">
        <f>SUM(D34:D49)</f>
        <v>0</v>
      </c>
      <c r="E50" s="303">
        <f>SUM(E34:E49)</f>
        <v>0</v>
      </c>
      <c r="F50" s="356" t="str">
        <f t="shared" si="0"/>
        <v/>
      </c>
      <c r="G50" s="356"/>
      <c r="H50" s="583"/>
      <c r="I50" s="128"/>
    </row>
    <row r="51" spans="1:9" ht="33" customHeight="1" x14ac:dyDescent="0.25">
      <c r="A51" s="202" t="s">
        <v>456</v>
      </c>
      <c r="B51" s="202"/>
      <c r="C51" s="202"/>
      <c r="D51" s="202"/>
      <c r="E51" s="373" t="e">
        <f>('Fiche de synthèse'!D50+'Fiche de synthèse'!E50)/'Fiche de vérification'!F18</f>
        <v>#VALUE!</v>
      </c>
      <c r="F51" s="269"/>
      <c r="G51" s="269"/>
      <c r="H51" s="268"/>
      <c r="I51" s="132" t="s">
        <v>467</v>
      </c>
    </row>
    <row r="52" spans="1:9" ht="15" thickBot="1" x14ac:dyDescent="0.3">
      <c r="I52" s="128"/>
    </row>
    <row r="53" spans="1:9" ht="14.4" customHeight="1" x14ac:dyDescent="0.25">
      <c r="A53" s="554" t="s">
        <v>449</v>
      </c>
      <c r="B53" s="555"/>
      <c r="C53" s="555"/>
      <c r="D53" s="555"/>
      <c r="E53" s="555"/>
      <c r="F53" s="555"/>
      <c r="G53" s="556"/>
      <c r="I53" s="128"/>
    </row>
    <row r="54" spans="1:9" x14ac:dyDescent="0.25">
      <c r="A54" s="202" t="s">
        <v>273</v>
      </c>
      <c r="B54" s="439"/>
      <c r="C54" s="196" t="s">
        <v>7</v>
      </c>
      <c r="D54" s="200" t="s">
        <v>407</v>
      </c>
      <c r="E54" s="196"/>
      <c r="F54" s="440"/>
      <c r="G54" s="285" t="s">
        <v>7</v>
      </c>
      <c r="I54" s="128"/>
    </row>
    <row r="55" spans="1:9" ht="15" thickBot="1" x14ac:dyDescent="0.3">
      <c r="A55" s="189" t="s">
        <v>405</v>
      </c>
      <c r="B55" s="432" t="str">
        <f>IF(OR('Fiche de vérification'!F20=0,'Fiche de vérification'!F20="",'Fiche de vérification'!F20="Saisir la valeur"),"",'Fiche de vérification'!F20/100)</f>
        <v/>
      </c>
      <c r="C55" s="379" t="s">
        <v>7</v>
      </c>
      <c r="D55" s="329" t="s">
        <v>406</v>
      </c>
      <c r="E55" s="195"/>
      <c r="F55" s="298" t="s">
        <v>30</v>
      </c>
      <c r="G55" s="378"/>
      <c r="I55" s="128"/>
    </row>
    <row r="56" spans="1:9" x14ac:dyDescent="0.25">
      <c r="I56" s="128"/>
    </row>
    <row r="57" spans="1:9" ht="15" thickBot="1" x14ac:dyDescent="0.3">
      <c r="I57" s="128"/>
    </row>
    <row r="58" spans="1:9" ht="14.4" customHeight="1" x14ac:dyDescent="0.25">
      <c r="A58" s="554" t="s">
        <v>274</v>
      </c>
      <c r="B58" s="555"/>
      <c r="C58" s="555"/>
      <c r="D58" s="555"/>
      <c r="E58" s="555"/>
      <c r="F58" s="555"/>
      <c r="G58" s="556"/>
      <c r="I58" s="128"/>
    </row>
    <row r="59" spans="1:9" x14ac:dyDescent="0.25">
      <c r="A59" s="187" t="s">
        <v>275</v>
      </c>
      <c r="B59" s="288" t="str">
        <f>IF(Puiss_totale="Saisir la valeur","",Puiss_totale)</f>
        <v/>
      </c>
      <c r="C59" s="380" t="s">
        <v>3</v>
      </c>
      <c r="D59" s="276" t="s">
        <v>276</v>
      </c>
      <c r="E59" s="276"/>
      <c r="F59" s="289" t="e">
        <f>B59-B60</f>
        <v>#VALUE!</v>
      </c>
      <c r="G59" s="285" t="s">
        <v>3</v>
      </c>
      <c r="H59" s="239"/>
      <c r="I59" s="128"/>
    </row>
    <row r="60" spans="1:9" x14ac:dyDescent="0.25">
      <c r="A60" s="186" t="s">
        <v>277</v>
      </c>
      <c r="B60" s="288" t="str">
        <f>IF(Puiss_bois="Saisir la valeur","",Puiss_bois)</f>
        <v/>
      </c>
      <c r="C60" s="385" t="s">
        <v>3</v>
      </c>
      <c r="D60" s="190" t="s">
        <v>278</v>
      </c>
      <c r="E60" s="190"/>
      <c r="F60" s="406" t="s">
        <v>30</v>
      </c>
      <c r="G60" s="201"/>
      <c r="H60" s="239"/>
      <c r="I60" s="129"/>
    </row>
    <row r="61" spans="1:9" x14ac:dyDescent="0.25">
      <c r="A61" s="187" t="s">
        <v>280</v>
      </c>
      <c r="B61" s="386" t="str">
        <f>IF('Fiche de vérification'!F39="Choisir","",'Fiche de vérification'!F39)</f>
        <v/>
      </c>
      <c r="C61" s="387"/>
      <c r="D61" s="276" t="s">
        <v>114</v>
      </c>
      <c r="E61" s="276"/>
      <c r="F61" s="367" t="e">
        <f>(B80/B82)*100</f>
        <v>#DIV/0!</v>
      </c>
      <c r="G61" s="285" t="s">
        <v>7</v>
      </c>
      <c r="H61" s="239"/>
      <c r="I61" s="128"/>
    </row>
    <row r="62" spans="1:9" ht="15.9" customHeight="1" x14ac:dyDescent="0.25">
      <c r="A62" s="186" t="s">
        <v>281</v>
      </c>
      <c r="B62" s="300"/>
      <c r="C62" s="278" t="s">
        <v>16</v>
      </c>
      <c r="D62" s="190" t="s">
        <v>282</v>
      </c>
      <c r="E62" s="190"/>
      <c r="F62" s="431"/>
      <c r="G62" s="201" t="s">
        <v>16</v>
      </c>
      <c r="H62" s="265"/>
      <c r="I62" s="128"/>
    </row>
    <row r="63" spans="1:9" x14ac:dyDescent="0.25">
      <c r="A63" s="187" t="s">
        <v>283</v>
      </c>
      <c r="B63" s="288" t="str">
        <f>IF('Fiche de vérification'!F40="Choisir","",'Fiche de vérification'!F40)</f>
        <v/>
      </c>
      <c r="C63" s="380"/>
      <c r="D63" s="276" t="s">
        <v>92</v>
      </c>
      <c r="E63" s="276"/>
      <c r="F63" s="288" t="str">
        <f>IF('Fiche de vérification'!F44="Saisir la valeur","",'Fiche de vérification'!F44)</f>
        <v/>
      </c>
      <c r="G63" s="381" t="s">
        <v>93</v>
      </c>
      <c r="H63" s="240"/>
      <c r="I63" s="128"/>
    </row>
    <row r="64" spans="1:9" x14ac:dyDescent="0.25">
      <c r="A64" s="186" t="s">
        <v>285</v>
      </c>
      <c r="B64" s="288" t="str">
        <f>IF('Fiche de vérification'!F70="Saisir la valeur","",'Fiche de vérification'!F70)</f>
        <v/>
      </c>
      <c r="C64" s="385" t="s">
        <v>8</v>
      </c>
      <c r="D64" s="593" t="s">
        <v>284</v>
      </c>
      <c r="E64" s="594"/>
      <c r="F64" s="288" t="e">
        <f>vol_total_silo/'Fiche de vérification'!F66</f>
        <v>#VALUE!</v>
      </c>
      <c r="G64" s="383" t="s">
        <v>93</v>
      </c>
      <c r="H64" s="240"/>
      <c r="I64" s="128"/>
    </row>
    <row r="65" spans="1:9" x14ac:dyDescent="0.25">
      <c r="A65" s="187" t="s">
        <v>287</v>
      </c>
      <c r="B65" s="294" t="s">
        <v>483</v>
      </c>
      <c r="C65" s="276"/>
      <c r="D65" s="595" t="s">
        <v>68</v>
      </c>
      <c r="E65" s="596"/>
      <c r="F65" s="288" t="str">
        <f>IF('Fiche de vérification'!F73="Choisir","",'Fiche de vérification'!F73)</f>
        <v/>
      </c>
      <c r="G65" s="381"/>
      <c r="H65" s="240"/>
      <c r="I65" s="128"/>
    </row>
    <row r="66" spans="1:9" x14ac:dyDescent="0.25">
      <c r="A66" s="186" t="s">
        <v>288</v>
      </c>
      <c r="B66" s="295" t="s">
        <v>30</v>
      </c>
      <c r="C66" s="278"/>
      <c r="D66" s="593" t="s">
        <v>286</v>
      </c>
      <c r="E66" s="594"/>
      <c r="F66" s="288" t="str">
        <f>IF('Fiche de vérification'!F64="Saisir la valeur","",'Fiche de vérification'!F64)</f>
        <v/>
      </c>
      <c r="G66" s="383" t="s">
        <v>16</v>
      </c>
      <c r="H66" s="240"/>
      <c r="I66" s="128"/>
    </row>
    <row r="67" spans="1:9" x14ac:dyDescent="0.25">
      <c r="A67" s="187" t="s">
        <v>289</v>
      </c>
      <c r="B67" s="294" t="s">
        <v>30</v>
      </c>
      <c r="C67" s="277"/>
      <c r="D67" s="276" t="s">
        <v>81</v>
      </c>
      <c r="E67" s="276"/>
      <c r="F67" s="597" t="str">
        <f>IF('Fiche de vérification'!F35="Choisir","",'Fiche de vérification'!F35)</f>
        <v/>
      </c>
      <c r="G67" s="598"/>
      <c r="H67" s="239"/>
      <c r="I67" s="128"/>
    </row>
    <row r="68" spans="1:9" x14ac:dyDescent="0.25">
      <c r="A68" s="186" t="s">
        <v>291</v>
      </c>
      <c r="B68" s="290" t="str">
        <f>IF('Fiche de vérification'!F23="Saisir la valeur","",longueur_reseau)</f>
        <v/>
      </c>
      <c r="C68" s="278" t="s">
        <v>6</v>
      </c>
      <c r="D68" s="190" t="s">
        <v>290</v>
      </c>
      <c r="E68" s="190"/>
      <c r="F68" s="406"/>
      <c r="G68" s="201" t="s">
        <v>7</v>
      </c>
      <c r="H68" s="239"/>
      <c r="I68" s="128"/>
    </row>
    <row r="69" spans="1:9" x14ac:dyDescent="0.25">
      <c r="A69" s="187" t="s">
        <v>292</v>
      </c>
      <c r="B69" s="295"/>
      <c r="C69" s="276" t="s">
        <v>6</v>
      </c>
      <c r="D69" s="276" t="s">
        <v>394</v>
      </c>
      <c r="E69" s="276"/>
      <c r="F69" s="425" t="str">
        <f>IF('Fiche de vérification'!F26="Saisir la valeur","",'Fiche de vérification'!F26)</f>
        <v/>
      </c>
      <c r="G69" s="381"/>
      <c r="H69" s="240"/>
      <c r="I69" s="128"/>
    </row>
    <row r="70" spans="1:9" ht="15" thickBot="1" x14ac:dyDescent="0.3">
      <c r="A70" s="189" t="s">
        <v>393</v>
      </c>
      <c r="B70" s="357" t="e">
        <f>(D50*D80/B60)*1000</f>
        <v>#VALUE!</v>
      </c>
      <c r="C70" s="382" t="s">
        <v>293</v>
      </c>
      <c r="D70" s="291" t="s">
        <v>395</v>
      </c>
      <c r="E70" s="291"/>
      <c r="F70" s="287" t="e">
        <f>F62/B60*1000</f>
        <v>#VALUE!</v>
      </c>
      <c r="G70" s="384" t="s">
        <v>294</v>
      </c>
      <c r="H70" s="239"/>
      <c r="I70" s="128"/>
    </row>
    <row r="71" spans="1:9" x14ac:dyDescent="0.25">
      <c r="F71" s="264"/>
      <c r="G71" s="265"/>
      <c r="H71" s="240"/>
      <c r="I71" s="128"/>
    </row>
    <row r="72" spans="1:9" ht="15" thickBot="1" x14ac:dyDescent="0.3">
      <c r="H72" s="239"/>
      <c r="I72" s="128"/>
    </row>
    <row r="73" spans="1:9" ht="14.4" customHeight="1" x14ac:dyDescent="0.25">
      <c r="A73" s="554" t="s">
        <v>295</v>
      </c>
      <c r="B73" s="555"/>
      <c r="C73" s="555"/>
      <c r="D73" s="555"/>
      <c r="E73" s="555"/>
      <c r="F73" s="555"/>
      <c r="G73" s="556"/>
      <c r="H73" s="262"/>
      <c r="I73" s="128"/>
    </row>
    <row r="74" spans="1:9" ht="41.4" x14ac:dyDescent="0.25">
      <c r="A74" s="337"/>
      <c r="B74" s="338" t="s">
        <v>462</v>
      </c>
      <c r="C74" s="338" t="s">
        <v>296</v>
      </c>
      <c r="D74" s="339" t="s">
        <v>389</v>
      </c>
      <c r="E74" s="338" t="s">
        <v>390</v>
      </c>
      <c r="F74" s="338" t="s">
        <v>482</v>
      </c>
      <c r="G74" s="340" t="s">
        <v>297</v>
      </c>
      <c r="I74" s="128"/>
    </row>
    <row r="75" spans="1:9" x14ac:dyDescent="0.25">
      <c r="A75" s="187" t="s">
        <v>396</v>
      </c>
      <c r="B75" s="286" t="e">
        <f>B$80/D$80*D75</f>
        <v>#DIV/0!</v>
      </c>
      <c r="C75" s="292" t="e">
        <f>IF(B75=0,0,F75*E75/B75)</f>
        <v>#DIV/0!</v>
      </c>
      <c r="D75" s="365"/>
      <c r="E75" s="133" t="str">
        <f>'Fiche de vérification'!F28</f>
        <v>Saisir la valeur</v>
      </c>
      <c r="F75" s="295"/>
      <c r="G75" s="293" t="str">
        <f>'Fiche de vérification'!F24</f>
        <v>Choisir</v>
      </c>
      <c r="I75" s="128"/>
    </row>
    <row r="76" spans="1:9" ht="28.8" x14ac:dyDescent="0.25">
      <c r="A76" s="237" t="s">
        <v>388</v>
      </c>
      <c r="B76" s="286" t="e">
        <f>B$80/D$80*D76</f>
        <v>#DIV/0!</v>
      </c>
      <c r="C76" s="292" t="e">
        <f>IF(B76=0,0,F76*E76/B76)</f>
        <v>#DIV/0!</v>
      </c>
      <c r="D76" s="361"/>
      <c r="E76" s="294"/>
      <c r="F76" s="294"/>
      <c r="G76" s="296"/>
      <c r="H76" s="245"/>
      <c r="I76" s="129"/>
    </row>
    <row r="77" spans="1:9" x14ac:dyDescent="0.25">
      <c r="A77" s="187" t="s">
        <v>298</v>
      </c>
      <c r="B77" s="286" t="e">
        <f>B$80/D$80*D77</f>
        <v>#DIV/0!</v>
      </c>
      <c r="C77" s="292" t="e">
        <f>IF(B77=0,0,F77*E77/B77)</f>
        <v>#DIV/0!</v>
      </c>
      <c r="D77" s="365"/>
      <c r="E77" s="295"/>
      <c r="F77" s="295"/>
      <c r="G77" s="297"/>
      <c r="H77" s="239"/>
      <c r="I77" s="128"/>
    </row>
    <row r="78" spans="1:9" ht="30.75" customHeight="1" x14ac:dyDescent="0.25">
      <c r="A78" s="186" t="s">
        <v>299</v>
      </c>
      <c r="B78" s="286" t="e">
        <f>B$80/D$80*D78</f>
        <v>#DIV/0!</v>
      </c>
      <c r="C78" s="292" t="e">
        <f>IF(B78=0,0,F78*E78/B78)</f>
        <v>#DIV/0!</v>
      </c>
      <c r="D78" s="361"/>
      <c r="E78" s="294"/>
      <c r="F78" s="294"/>
      <c r="G78" s="296"/>
      <c r="H78" s="239"/>
      <c r="I78" s="128"/>
    </row>
    <row r="79" spans="1:9" x14ac:dyDescent="0.25">
      <c r="A79" s="187" t="s">
        <v>300</v>
      </c>
      <c r="B79" s="286" t="e">
        <f>B$80/D$80*D79</f>
        <v>#DIV/0!</v>
      </c>
      <c r="C79" s="292" t="e">
        <f>IF(B79=0,0,F79*E79/B79)</f>
        <v>#DIV/0!</v>
      </c>
      <c r="D79" s="365"/>
      <c r="E79" s="295"/>
      <c r="F79" s="295"/>
      <c r="G79" s="429"/>
      <c r="H79" s="239"/>
      <c r="I79" s="128"/>
    </row>
    <row r="80" spans="1:9" x14ac:dyDescent="0.25">
      <c r="A80" s="254" t="s">
        <v>301</v>
      </c>
      <c r="B80" s="235" t="e">
        <f>IF(B55="",(D50+E50)/B54*D80,(D50+E50)/B54/B55*D80)</f>
        <v>#DIV/0!</v>
      </c>
      <c r="C80" s="236" t="e">
        <f>IF(B80=0,0,(B75*C75+B76*C76+B77*C77+B78*C78+B79*C79)/B80)</f>
        <v>#DIV/0!</v>
      </c>
      <c r="D80" s="389">
        <f>SUM(D75:D79)</f>
        <v>0</v>
      </c>
      <c r="E80" s="308"/>
      <c r="F80" s="310"/>
      <c r="G80" s="305"/>
      <c r="H80" s="239"/>
      <c r="I80" s="128"/>
    </row>
    <row r="81" spans="1:9" x14ac:dyDescent="0.25">
      <c r="A81" s="186" t="s">
        <v>278</v>
      </c>
      <c r="B81" s="435" t="e">
        <f>IF(D80=1,0,IF(B55="",(D50+E50)/F54*(1-D80),(D50+E50)/F54/B55*(1-D80)))</f>
        <v>#DIV/0!</v>
      </c>
      <c r="C81" s="295"/>
      <c r="D81" s="307"/>
      <c r="E81" s="308"/>
      <c r="F81" s="308"/>
      <c r="G81" s="305"/>
      <c r="I81" s="128"/>
    </row>
    <row r="82" spans="1:9" x14ac:dyDescent="0.25">
      <c r="A82" s="254" t="s">
        <v>302</v>
      </c>
      <c r="B82" s="235" t="e">
        <f>B80+B81</f>
        <v>#DIV/0!</v>
      </c>
      <c r="C82" s="358"/>
      <c r="D82" s="311"/>
      <c r="E82" s="308"/>
      <c r="F82" s="308"/>
      <c r="G82" s="305"/>
      <c r="I82" s="128"/>
    </row>
    <row r="83" spans="1:9" x14ac:dyDescent="0.25">
      <c r="A83" s="191" t="s">
        <v>303</v>
      </c>
      <c r="B83" s="363"/>
      <c r="C83" s="294"/>
      <c r="D83" s="311"/>
      <c r="E83" s="308"/>
      <c r="F83" s="308"/>
      <c r="G83" s="305"/>
      <c r="I83" s="128"/>
    </row>
    <row r="84" spans="1:9" x14ac:dyDescent="0.25">
      <c r="A84" s="254" t="s">
        <v>272</v>
      </c>
      <c r="B84" s="235" t="e">
        <f>SUM(B82:B83)</f>
        <v>#DIV/0!</v>
      </c>
      <c r="C84" s="313"/>
      <c r="D84" s="308"/>
      <c r="E84" s="308"/>
      <c r="F84" s="308"/>
      <c r="G84" s="305"/>
      <c r="I84" s="134"/>
    </row>
    <row r="85" spans="1:9" ht="15" thickBot="1" x14ac:dyDescent="0.3">
      <c r="A85" s="189" t="s">
        <v>304</v>
      </c>
      <c r="B85" s="364" t="e">
        <f>(D50+E50)/F54</f>
        <v>#DIV/0!</v>
      </c>
      <c r="C85" s="318"/>
      <c r="D85" s="312"/>
      <c r="E85" s="309"/>
      <c r="F85" s="309"/>
      <c r="G85" s="306"/>
      <c r="I85" s="128"/>
    </row>
    <row r="86" spans="1:9" ht="16.2" thickBot="1" x14ac:dyDescent="0.3">
      <c r="A86" s="135"/>
      <c r="B86" s="135"/>
      <c r="C86" s="135"/>
      <c r="D86" s="135"/>
      <c r="E86" s="135"/>
      <c r="F86" s="135"/>
      <c r="G86" s="135"/>
      <c r="I86" s="128"/>
    </row>
    <row r="87" spans="1:9" ht="15.6" x14ac:dyDescent="0.25">
      <c r="A87" s="341"/>
      <c r="B87" s="342" t="s">
        <v>305</v>
      </c>
      <c r="C87" s="342"/>
      <c r="D87" s="342"/>
      <c r="E87" s="203"/>
      <c r="F87" s="203"/>
      <c r="G87" s="204"/>
      <c r="I87" s="128"/>
    </row>
    <row r="88" spans="1:9" ht="15.6" x14ac:dyDescent="0.25">
      <c r="A88" s="202" t="s">
        <v>306</v>
      </c>
      <c r="B88" s="198"/>
      <c r="C88" s="198"/>
      <c r="D88" s="198"/>
      <c r="E88" s="198"/>
      <c r="F88" s="198"/>
      <c r="G88" s="296"/>
      <c r="H88" s="246"/>
      <c r="I88" s="128"/>
    </row>
    <row r="89" spans="1:9" ht="15.6" x14ac:dyDescent="0.25">
      <c r="A89" s="191" t="s">
        <v>307</v>
      </c>
      <c r="B89" s="208"/>
      <c r="C89" s="208"/>
      <c r="D89" s="208"/>
      <c r="E89" s="208"/>
      <c r="F89" s="208"/>
      <c r="G89" s="297"/>
      <c r="H89" s="243"/>
      <c r="I89" s="128"/>
    </row>
    <row r="90" spans="1:9" x14ac:dyDescent="0.25">
      <c r="A90" s="202" t="s">
        <v>308</v>
      </c>
      <c r="B90" s="198"/>
      <c r="C90" s="198"/>
      <c r="D90" s="198"/>
      <c r="E90" s="198"/>
      <c r="F90" s="198"/>
      <c r="G90" s="296"/>
      <c r="H90" s="241"/>
      <c r="I90" s="128"/>
    </row>
    <row r="91" spans="1:9" x14ac:dyDescent="0.25">
      <c r="A91" s="191" t="s">
        <v>309</v>
      </c>
      <c r="B91" s="208"/>
      <c r="C91" s="208"/>
      <c r="D91" s="208"/>
      <c r="E91" s="208"/>
      <c r="F91" s="208"/>
      <c r="G91" s="297"/>
      <c r="H91" s="241"/>
      <c r="I91" s="129"/>
    </row>
    <row r="92" spans="1:9" x14ac:dyDescent="0.25">
      <c r="A92" s="202" t="s">
        <v>453</v>
      </c>
      <c r="B92" s="198"/>
      <c r="C92" s="198"/>
      <c r="D92" s="198"/>
      <c r="E92" s="198"/>
      <c r="F92" s="198"/>
      <c r="G92" s="296"/>
      <c r="H92" s="241"/>
      <c r="I92" s="128"/>
    </row>
    <row r="93" spans="1:9" x14ac:dyDescent="0.25">
      <c r="A93" s="191" t="s">
        <v>310</v>
      </c>
      <c r="B93" s="208"/>
      <c r="C93" s="208"/>
      <c r="D93" s="208"/>
      <c r="E93" s="208"/>
      <c r="F93" s="208"/>
      <c r="G93" s="297"/>
      <c r="H93" s="241"/>
      <c r="I93" s="128"/>
    </row>
    <row r="94" spans="1:9" x14ac:dyDescent="0.25">
      <c r="A94" s="202" t="s">
        <v>311</v>
      </c>
      <c r="B94" s="198"/>
      <c r="C94" s="198"/>
      <c r="D94" s="198"/>
      <c r="E94" s="198"/>
      <c r="F94" s="198"/>
      <c r="G94" s="296"/>
      <c r="H94" s="241"/>
      <c r="I94" s="128"/>
    </row>
    <row r="95" spans="1:9" x14ac:dyDescent="0.25">
      <c r="A95" s="191" t="s">
        <v>312</v>
      </c>
      <c r="B95" s="208"/>
      <c r="C95" s="208"/>
      <c r="D95" s="208"/>
      <c r="E95" s="208"/>
      <c r="F95" s="208"/>
      <c r="G95" s="297"/>
      <c r="H95" s="241"/>
      <c r="I95" s="128"/>
    </row>
    <row r="96" spans="1:9" x14ac:dyDescent="0.25">
      <c r="A96" s="202" t="s">
        <v>313</v>
      </c>
      <c r="B96" s="198"/>
      <c r="C96" s="198"/>
      <c r="D96" s="198"/>
      <c r="E96" s="198"/>
      <c r="F96" s="198"/>
      <c r="G96" s="296"/>
      <c r="H96" s="241"/>
      <c r="I96" s="128"/>
    </row>
    <row r="97" spans="1:11" x14ac:dyDescent="0.25">
      <c r="A97" s="213" t="s">
        <v>314</v>
      </c>
      <c r="B97" s="197"/>
      <c r="C97" s="197"/>
      <c r="D97" s="197"/>
      <c r="E97" s="197"/>
      <c r="F97" s="197"/>
      <c r="G97" s="217">
        <f>SUM(F88:G96)</f>
        <v>0</v>
      </c>
      <c r="H97" s="241"/>
      <c r="I97" s="128"/>
    </row>
    <row r="98" spans="1:11" x14ac:dyDescent="0.25">
      <c r="A98" s="253" t="s">
        <v>315</v>
      </c>
      <c r="B98" s="207"/>
      <c r="C98" s="207"/>
      <c r="D98" s="207"/>
      <c r="E98" s="207"/>
      <c r="F98" s="207"/>
      <c r="G98" s="217" t="str">
        <f>'Fiche de vérification'!F95</f>
        <v>Saisir la valeur</v>
      </c>
      <c r="H98" s="241"/>
      <c r="I98" s="128"/>
      <c r="K98" s="136"/>
    </row>
    <row r="99" spans="1:11" ht="15" thickBot="1" x14ac:dyDescent="0.3">
      <c r="A99" s="584" t="s">
        <v>316</v>
      </c>
      <c r="B99" s="585"/>
      <c r="C99" s="206"/>
      <c r="D99" s="206"/>
      <c r="E99" s="206"/>
      <c r="F99" s="206"/>
      <c r="G99" s="359" t="e">
        <f>SUM(G97,-G98)</f>
        <v>#VALUE!</v>
      </c>
      <c r="H99" s="241"/>
      <c r="I99" s="128"/>
    </row>
    <row r="100" spans="1:11" ht="15" thickBot="1" x14ac:dyDescent="0.3">
      <c r="A100" s="569" t="s">
        <v>317</v>
      </c>
      <c r="B100" s="570"/>
      <c r="C100" s="271"/>
      <c r="D100" s="271"/>
      <c r="E100" s="271"/>
      <c r="F100" s="270"/>
      <c r="G100" s="297"/>
      <c r="H100" s="294"/>
      <c r="I100" s="128"/>
    </row>
    <row r="101" spans="1:11" x14ac:dyDescent="0.25">
      <c r="A101" s="209" t="s">
        <v>397</v>
      </c>
      <c r="B101" s="210"/>
      <c r="C101" s="210"/>
      <c r="D101" s="210"/>
      <c r="E101" s="210"/>
      <c r="F101" s="210"/>
      <c r="G101" s="433" t="e">
        <f>ROUND(SUM(G88:G92,G95:G96)/B60,-2)</f>
        <v>#VALUE!</v>
      </c>
      <c r="H101" s="241"/>
      <c r="I101" s="128"/>
    </row>
    <row r="102" spans="1:11" ht="15" thickBot="1" x14ac:dyDescent="0.3">
      <c r="A102" s="211" t="s">
        <v>398</v>
      </c>
      <c r="B102" s="199"/>
      <c r="C102" s="199"/>
      <c r="D102" s="199"/>
      <c r="E102" s="199"/>
      <c r="F102" s="199"/>
      <c r="G102" s="314" t="e">
        <f>(G93+G94)/B69</f>
        <v>#DIV/0!</v>
      </c>
      <c r="H102" s="241"/>
      <c r="I102" s="128"/>
    </row>
    <row r="103" spans="1:11" ht="15" thickBot="1" x14ac:dyDescent="0.3">
      <c r="H103" s="241"/>
      <c r="I103" s="128"/>
    </row>
    <row r="104" spans="1:11" ht="15.6" x14ac:dyDescent="0.25">
      <c r="A104" s="554" t="s">
        <v>411</v>
      </c>
      <c r="B104" s="555"/>
      <c r="C104" s="555"/>
      <c r="D104" s="555"/>
      <c r="E104" s="555"/>
      <c r="F104" s="555"/>
      <c r="G104" s="556"/>
      <c r="H104" s="545" t="s">
        <v>463</v>
      </c>
      <c r="I104" s="128"/>
    </row>
    <row r="105" spans="1:11" x14ac:dyDescent="0.25">
      <c r="A105" s="213" t="s">
        <v>318</v>
      </c>
      <c r="B105" s="197"/>
      <c r="C105" s="197"/>
      <c r="D105" s="197"/>
      <c r="E105" s="589" t="s">
        <v>319</v>
      </c>
      <c r="F105" s="590"/>
      <c r="G105" s="212" t="s">
        <v>320</v>
      </c>
      <c r="H105" s="545"/>
      <c r="I105" s="128"/>
    </row>
    <row r="106" spans="1:11" ht="14.4" customHeight="1" x14ac:dyDescent="0.25">
      <c r="A106" s="191" t="s">
        <v>454</v>
      </c>
      <c r="B106" s="208"/>
      <c r="C106" s="208"/>
      <c r="D106" s="208"/>
      <c r="E106" s="294">
        <v>400</v>
      </c>
      <c r="F106" s="360"/>
      <c r="G106" s="315">
        <f>E106*G97</f>
        <v>0</v>
      </c>
      <c r="H106" s="545"/>
      <c r="I106" s="128"/>
    </row>
    <row r="107" spans="1:11" ht="14.4" customHeight="1" x14ac:dyDescent="0.25">
      <c r="A107" s="202" t="s">
        <v>321</v>
      </c>
      <c r="B107" s="198"/>
      <c r="C107" s="198"/>
      <c r="D107" s="198"/>
      <c r="E107" s="295"/>
      <c r="F107" s="360"/>
      <c r="G107" s="297"/>
      <c r="H107" s="545"/>
      <c r="I107" s="128"/>
    </row>
    <row r="108" spans="1:11" ht="14.4" customHeight="1" x14ac:dyDescent="0.25">
      <c r="A108" s="191" t="s">
        <v>107</v>
      </c>
      <c r="B108" s="208"/>
      <c r="C108" s="208"/>
      <c r="D108" s="208"/>
      <c r="E108" s="294"/>
      <c r="F108" s="360"/>
      <c r="G108" s="296" t="str">
        <f>IF(E108="OCRE",IF(G138&lt;601,260*G138,260*600+(G138-600)*140)+MIN(MIN(G93+G94,330*B69),G138*20*5),"")</f>
        <v/>
      </c>
      <c r="H108" s="545"/>
      <c r="I108" s="366" t="str">
        <f>IF(E108="OCRE","OCRE chaufferie : "&amp;164*G138,"")</f>
        <v/>
      </c>
    </row>
    <row r="109" spans="1:11" ht="14.4" customHeight="1" x14ac:dyDescent="0.25">
      <c r="A109" s="202" t="s">
        <v>322</v>
      </c>
      <c r="B109" s="198"/>
      <c r="C109" s="198"/>
      <c r="D109" s="198"/>
      <c r="E109" s="295"/>
      <c r="F109" s="360"/>
      <c r="G109" s="297"/>
      <c r="H109" s="545"/>
      <c r="I109" s="366" t="str">
        <f>IF(E108="OCRE","OCRE RC : "&amp;MIN(MIN(G93+G94,330*B69),G138*20*5),"")</f>
        <v/>
      </c>
    </row>
    <row r="110" spans="1:11" ht="14.4" customHeight="1" x14ac:dyDescent="0.25">
      <c r="A110" s="213" t="s">
        <v>323</v>
      </c>
      <c r="B110" s="214"/>
      <c r="C110" s="214"/>
      <c r="D110" s="214"/>
      <c r="E110" s="215"/>
      <c r="F110" s="216"/>
      <c r="G110" s="217">
        <f>SUM(G106:G109)</f>
        <v>0</v>
      </c>
      <c r="H110" s="545"/>
      <c r="I110" s="366" t="str">
        <f>IF(E108="OCRE","OCRE plafond 5€/MWh : "&amp;G138*20*5,"")</f>
        <v/>
      </c>
    </row>
    <row r="111" spans="1:11" ht="14.4" customHeight="1" x14ac:dyDescent="0.25">
      <c r="A111" s="191" t="s">
        <v>324</v>
      </c>
      <c r="B111" s="208"/>
      <c r="C111" s="208"/>
      <c r="D111" s="208"/>
      <c r="E111" s="401">
        <f>IF(G97=0,0,G110/G97)</f>
        <v>0</v>
      </c>
      <c r="F111" s="316"/>
      <c r="G111" s="154"/>
      <c r="H111" s="545"/>
      <c r="I111" s="128"/>
    </row>
    <row r="112" spans="1:11" ht="14.4" customHeight="1" x14ac:dyDescent="0.25">
      <c r="A112" s="202" t="s">
        <v>325</v>
      </c>
      <c r="B112" s="198"/>
      <c r="C112" s="198"/>
      <c r="D112" s="198"/>
      <c r="E112" s="402" t="e">
        <f>IF(G99=0,0,G110/G99)</f>
        <v>#VALUE!</v>
      </c>
      <c r="F112" s="317"/>
      <c r="G112" s="154"/>
      <c r="H112" s="545"/>
      <c r="I112" s="128"/>
    </row>
    <row r="113" spans="1:9" ht="14.4" customHeight="1" x14ac:dyDescent="0.25">
      <c r="A113" s="213" t="s">
        <v>326</v>
      </c>
      <c r="B113" s="214"/>
      <c r="C113" s="214"/>
      <c r="D113" s="214"/>
      <c r="E113" s="218"/>
      <c r="F113" s="219"/>
      <c r="G113" s="220">
        <f>G97*(1-E111)</f>
        <v>0</v>
      </c>
      <c r="H113" s="545"/>
      <c r="I113" s="128"/>
    </row>
    <row r="114" spans="1:9" ht="14.4" customHeight="1" x14ac:dyDescent="0.25">
      <c r="A114" s="184" t="s">
        <v>327</v>
      </c>
      <c r="B114" s="194"/>
      <c r="C114" s="194"/>
      <c r="D114" s="194"/>
      <c r="E114" s="294"/>
      <c r="F114" s="360"/>
      <c r="G114" s="296"/>
      <c r="H114" s="545"/>
      <c r="I114" s="128"/>
    </row>
    <row r="115" spans="1:9" ht="15" customHeight="1" thickBot="1" x14ac:dyDescent="0.3">
      <c r="A115" s="221" t="s">
        <v>328</v>
      </c>
      <c r="B115" s="222"/>
      <c r="C115" s="222"/>
      <c r="D115" s="222"/>
      <c r="E115" s="318"/>
      <c r="F115" s="362"/>
      <c r="G115" s="319"/>
      <c r="H115" s="545"/>
      <c r="I115" s="128"/>
    </row>
    <row r="116" spans="1:9" ht="16.2" thickBot="1" x14ac:dyDescent="0.3">
      <c r="A116" s="135"/>
      <c r="B116" s="135"/>
      <c r="C116" s="135"/>
      <c r="D116" s="135"/>
      <c r="E116" s="135"/>
      <c r="F116" s="135"/>
      <c r="G116" s="135"/>
      <c r="H116" s="355"/>
      <c r="I116" s="128"/>
    </row>
    <row r="117" spans="1:9" ht="15.6" x14ac:dyDescent="0.25">
      <c r="A117" s="557" t="s">
        <v>329</v>
      </c>
      <c r="B117" s="557"/>
      <c r="C117" s="557"/>
      <c r="D117" s="557"/>
      <c r="E117" s="203"/>
      <c r="F117" s="203"/>
      <c r="G117" s="204"/>
      <c r="H117" s="355"/>
      <c r="I117" s="128"/>
    </row>
    <row r="118" spans="1:9" ht="15.6" x14ac:dyDescent="0.25">
      <c r="A118" s="558"/>
      <c r="B118" s="558"/>
      <c r="C118" s="558"/>
      <c r="D118" s="558"/>
      <c r="E118" s="395" t="s">
        <v>330</v>
      </c>
      <c r="F118" s="396"/>
      <c r="G118" s="397" t="s">
        <v>331</v>
      </c>
      <c r="H118" s="246"/>
      <c r="I118" s="128"/>
    </row>
    <row r="119" spans="1:9" ht="15.6" x14ac:dyDescent="0.25">
      <c r="A119" s="193" t="s">
        <v>333</v>
      </c>
      <c r="B119" s="208"/>
      <c r="C119" s="601" t="s">
        <v>332</v>
      </c>
      <c r="D119" s="231"/>
      <c r="E119" s="392" t="e">
        <f>B80*C80</f>
        <v>#DIV/0!</v>
      </c>
      <c r="F119" s="322"/>
      <c r="G119" s="320"/>
      <c r="H119" s="243"/>
      <c r="I119" s="128"/>
    </row>
    <row r="120" spans="1:9" ht="15" customHeight="1" x14ac:dyDescent="0.25">
      <c r="A120" s="200" t="s">
        <v>334</v>
      </c>
      <c r="B120" s="198"/>
      <c r="C120" s="602"/>
      <c r="D120" s="227"/>
      <c r="E120" s="392" t="e">
        <f>B81*C81</f>
        <v>#DIV/0!</v>
      </c>
      <c r="F120" s="323"/>
      <c r="G120" s="434" t="e">
        <f>B85*C85</f>
        <v>#DIV/0!</v>
      </c>
      <c r="H120" s="247"/>
      <c r="I120" s="128"/>
    </row>
    <row r="121" spans="1:9" x14ac:dyDescent="0.25">
      <c r="A121" s="224" t="s">
        <v>403</v>
      </c>
      <c r="B121" s="205"/>
      <c r="C121" s="225" t="s">
        <v>335</v>
      </c>
      <c r="D121" s="192"/>
      <c r="E121" s="392">
        <f>B83*C83</f>
        <v>0</v>
      </c>
      <c r="F121" s="323"/>
      <c r="G121" s="423"/>
      <c r="I121" s="128"/>
    </row>
    <row r="122" spans="1:9" x14ac:dyDescent="0.25">
      <c r="A122" s="202" t="s">
        <v>337</v>
      </c>
      <c r="B122" s="198"/>
      <c r="C122" s="226" t="s">
        <v>336</v>
      </c>
      <c r="D122" s="196"/>
      <c r="E122" s="422"/>
      <c r="F122" s="390"/>
      <c r="G122" s="422"/>
      <c r="H122" s="241"/>
      <c r="I122" s="128"/>
    </row>
    <row r="123" spans="1:9" x14ac:dyDescent="0.25">
      <c r="A123" s="224" t="s">
        <v>404</v>
      </c>
      <c r="B123" s="205"/>
      <c r="C123" s="225" t="s">
        <v>338</v>
      </c>
      <c r="D123" s="192"/>
      <c r="E123" s="421"/>
      <c r="F123" s="321"/>
      <c r="G123" s="423"/>
      <c r="H123" s="241"/>
      <c r="I123" s="128"/>
    </row>
    <row r="124" spans="1:9" x14ac:dyDescent="0.25">
      <c r="A124" s="202" t="s">
        <v>339</v>
      </c>
      <c r="B124" s="198"/>
      <c r="C124" s="198"/>
      <c r="D124" s="196"/>
      <c r="E124" s="393" t="e">
        <f>E119+E121+E122+E123+E120</f>
        <v>#DIV/0!</v>
      </c>
      <c r="F124" s="321"/>
      <c r="G124" s="324" t="e">
        <f>SUM(G120:G123)</f>
        <v>#DIV/0!</v>
      </c>
      <c r="H124" s="241"/>
      <c r="I124" s="128"/>
    </row>
    <row r="125" spans="1:9" x14ac:dyDescent="0.25">
      <c r="A125" s="228" t="s">
        <v>340</v>
      </c>
      <c r="B125" s="229"/>
      <c r="C125" s="229"/>
      <c r="D125" s="229"/>
      <c r="E125" s="394"/>
      <c r="F125" s="230"/>
      <c r="G125" s="255" t="e">
        <f>G124-E124</f>
        <v>#DIV/0!</v>
      </c>
      <c r="H125" s="241"/>
      <c r="I125" s="128"/>
    </row>
    <row r="126" spans="1:9" ht="15" thickBot="1" x14ac:dyDescent="0.3">
      <c r="A126" s="211" t="s">
        <v>341</v>
      </c>
      <c r="B126" s="199"/>
      <c r="C126" s="199"/>
      <c r="D126" s="199"/>
      <c r="E126" s="318"/>
      <c r="F126" s="391"/>
      <c r="G126" s="318"/>
      <c r="H126" s="248"/>
      <c r="I126" s="128"/>
    </row>
    <row r="127" spans="1:9" ht="15.6" x14ac:dyDescent="0.25">
      <c r="A127" s="135"/>
      <c r="B127" s="135"/>
      <c r="C127" s="135"/>
      <c r="D127" s="135"/>
      <c r="E127" s="135"/>
      <c r="F127" s="135"/>
      <c r="G127" s="135"/>
      <c r="H127" s="248"/>
      <c r="I127" s="128"/>
    </row>
    <row r="128" spans="1:9" ht="16.2" thickBot="1" x14ac:dyDescent="0.3">
      <c r="A128" s="135"/>
      <c r="B128" s="135"/>
      <c r="C128" s="135"/>
      <c r="D128" s="135"/>
      <c r="E128" s="135"/>
      <c r="F128" s="135"/>
      <c r="G128" s="162"/>
      <c r="H128" s="249"/>
      <c r="I128" s="128"/>
    </row>
    <row r="129" spans="1:9" ht="31.2" x14ac:dyDescent="0.25">
      <c r="A129" s="343" t="s">
        <v>412</v>
      </c>
      <c r="B129" s="334"/>
      <c r="C129" s="334"/>
      <c r="D129" s="344"/>
      <c r="E129" s="398" t="s">
        <v>342</v>
      </c>
      <c r="F129" s="399" t="s">
        <v>343</v>
      </c>
      <c r="G129" s="400" t="s">
        <v>229</v>
      </c>
      <c r="H129" s="331"/>
      <c r="I129" s="328"/>
    </row>
    <row r="130" spans="1:9" ht="16.2" thickBot="1" x14ac:dyDescent="0.3">
      <c r="A130" s="232" t="s">
        <v>344</v>
      </c>
      <c r="B130" s="233"/>
      <c r="C130" s="233"/>
      <c r="D130" s="233"/>
      <c r="E130" s="298"/>
      <c r="F130" s="330"/>
      <c r="G130" s="436" t="str">
        <f>'Fiche de vérification'!F106</f>
        <v>Saisir la valeur</v>
      </c>
      <c r="H130" s="250"/>
      <c r="I130" s="128"/>
    </row>
    <row r="131" spans="1:9" ht="15.6" x14ac:dyDescent="0.25">
      <c r="A131" s="135"/>
      <c r="B131" s="135"/>
      <c r="C131" s="135"/>
      <c r="D131" s="135"/>
      <c r="E131" s="135"/>
      <c r="F131" s="135"/>
      <c r="G131" s="135"/>
      <c r="H131" s="243"/>
      <c r="I131" s="128"/>
    </row>
    <row r="132" spans="1:9" ht="16.2" thickBot="1" x14ac:dyDescent="0.3">
      <c r="A132" s="135"/>
      <c r="B132" s="135"/>
      <c r="C132" s="135"/>
      <c r="D132" s="135"/>
      <c r="E132" s="135"/>
      <c r="F132" s="135"/>
      <c r="G132" s="135"/>
      <c r="H132" s="244"/>
      <c r="I132" s="128"/>
    </row>
    <row r="133" spans="1:9" ht="15.6" x14ac:dyDescent="0.25">
      <c r="A133" s="346" t="s">
        <v>413</v>
      </c>
      <c r="B133" s="347"/>
      <c r="C133" s="347"/>
      <c r="D133" s="348"/>
      <c r="E133" s="345" t="s">
        <v>345</v>
      </c>
      <c r="F133" s="345" t="s">
        <v>346</v>
      </c>
      <c r="G133" s="349"/>
      <c r="H133" s="246"/>
      <c r="I133" s="128"/>
    </row>
    <row r="134" spans="1:9" ht="33.9" customHeight="1" thickBot="1" x14ac:dyDescent="0.3">
      <c r="A134" s="599" t="s">
        <v>347</v>
      </c>
      <c r="B134" s="600"/>
      <c r="C134" s="600"/>
      <c r="D134" s="234"/>
      <c r="E134" s="405" t="e">
        <f>G99/G125</f>
        <v>#VALUE!</v>
      </c>
      <c r="F134" s="405" t="e">
        <f>(G113-G98)/G125</f>
        <v>#VALUE!</v>
      </c>
      <c r="G134" s="325"/>
      <c r="H134" s="246"/>
      <c r="I134" s="128"/>
    </row>
    <row r="135" spans="1:9" ht="16.2" thickBot="1" x14ac:dyDescent="0.3">
      <c r="H135" s="242"/>
      <c r="I135" s="128"/>
    </row>
    <row r="136" spans="1:9" x14ac:dyDescent="0.25">
      <c r="A136" s="350" t="s">
        <v>348</v>
      </c>
      <c r="B136" s="335"/>
      <c r="C136" s="335"/>
      <c r="D136" s="335"/>
      <c r="E136" s="351"/>
      <c r="F136" s="335"/>
      <c r="G136" s="352"/>
      <c r="H136" s="239"/>
      <c r="I136" s="128"/>
    </row>
    <row r="137" spans="1:9" x14ac:dyDescent="0.25">
      <c r="A137" s="191" t="s">
        <v>349</v>
      </c>
      <c r="B137" s="550"/>
      <c r="C137" s="551"/>
      <c r="D137" s="191" t="s">
        <v>350</v>
      </c>
      <c r="E137" s="208"/>
      <c r="F137" s="194"/>
      <c r="G137" s="296"/>
      <c r="H137" s="368"/>
      <c r="I137" s="328"/>
    </row>
    <row r="138" spans="1:9" x14ac:dyDescent="0.25">
      <c r="A138" s="202" t="s">
        <v>351</v>
      </c>
      <c r="B138" s="404" t="e">
        <f>G138/11.63</f>
        <v>#DIV/0!</v>
      </c>
      <c r="C138" s="326"/>
      <c r="D138" s="202" t="s">
        <v>352</v>
      </c>
      <c r="E138" s="223"/>
      <c r="F138" s="196"/>
      <c r="G138" s="424" t="e">
        <f>B80*B54</f>
        <v>#DIV/0!</v>
      </c>
      <c r="H138" s="247"/>
      <c r="I138" s="128"/>
    </row>
    <row r="139" spans="1:9" ht="15" thickBot="1" x14ac:dyDescent="0.3">
      <c r="A139" s="211" t="s">
        <v>353</v>
      </c>
      <c r="B139" s="405" t="e">
        <f>B81/11.63</f>
        <v>#DIV/0!</v>
      </c>
      <c r="C139" s="327"/>
      <c r="D139" s="211" t="s">
        <v>354</v>
      </c>
      <c r="E139" s="211"/>
      <c r="F139" s="329"/>
      <c r="G139" s="403" t="e">
        <f>(IF(F60='listes deroulantes'!G4,'listes deroulantes'!H4*'Fiche de synthèse'!B80,(IF(F60='listes deroulantes'!G5,'listes deroulantes'!H5*B80,'listes deroulantes'!H6*B80))))/1000</f>
        <v>#DIV/0!</v>
      </c>
      <c r="H139" s="239"/>
      <c r="I139" s="128"/>
    </row>
    <row r="140" spans="1:9" ht="15" thickBot="1" x14ac:dyDescent="0.3">
      <c r="H140" s="241"/>
      <c r="I140" s="128"/>
    </row>
    <row r="141" spans="1:9" ht="93" customHeight="1" thickBot="1" x14ac:dyDescent="0.3">
      <c r="A141" s="575" t="s">
        <v>355</v>
      </c>
      <c r="B141" s="576"/>
      <c r="C141" s="576"/>
      <c r="D141" s="576"/>
      <c r="E141" s="576"/>
      <c r="F141" s="576"/>
      <c r="G141" s="577"/>
      <c r="H141" s="239"/>
      <c r="I141" s="128"/>
    </row>
    <row r="142" spans="1:9" ht="25.8" x14ac:dyDescent="0.25">
      <c r="A142" s="137" t="s">
        <v>356</v>
      </c>
      <c r="B142" s="138"/>
      <c r="C142" s="138"/>
      <c r="D142" s="140" t="s">
        <v>357</v>
      </c>
      <c r="E142" s="138"/>
      <c r="F142" s="138"/>
      <c r="G142" s="155"/>
      <c r="H142" s="251"/>
      <c r="I142" s="128"/>
    </row>
    <row r="143" spans="1:9" ht="25.8" x14ac:dyDescent="0.25">
      <c r="A143" s="149" t="s">
        <v>358</v>
      </c>
      <c r="B143" s="142" t="s">
        <v>359</v>
      </c>
      <c r="C143" s="143"/>
      <c r="D143" s="141" t="s">
        <v>358</v>
      </c>
      <c r="E143" s="142"/>
      <c r="F143" s="142" t="s">
        <v>359</v>
      </c>
      <c r="G143" s="156"/>
      <c r="H143" s="251"/>
      <c r="I143" s="128"/>
    </row>
    <row r="144" spans="1:9" x14ac:dyDescent="0.25">
      <c r="A144" s="157"/>
      <c r="C144" s="145"/>
      <c r="D144" s="144"/>
      <c r="G144" s="158"/>
      <c r="I144" s="128"/>
    </row>
    <row r="145" spans="1:9" x14ac:dyDescent="0.25">
      <c r="A145" s="157"/>
      <c r="C145" s="145"/>
      <c r="D145" s="144"/>
      <c r="G145" s="158"/>
      <c r="I145" s="128"/>
    </row>
    <row r="146" spans="1:9" x14ac:dyDescent="0.25">
      <c r="A146" s="157"/>
      <c r="C146" s="145"/>
      <c r="D146" s="144"/>
      <c r="G146" s="158"/>
      <c r="I146" s="128"/>
    </row>
    <row r="147" spans="1:9" x14ac:dyDescent="0.25">
      <c r="A147" s="157"/>
      <c r="C147" s="145"/>
      <c r="D147" s="144"/>
      <c r="G147" s="158"/>
      <c r="I147" s="128"/>
    </row>
    <row r="148" spans="1:9" x14ac:dyDescent="0.25">
      <c r="A148" s="157"/>
      <c r="C148" s="145"/>
      <c r="D148" s="144"/>
      <c r="G148" s="158"/>
      <c r="I148" s="128"/>
    </row>
    <row r="149" spans="1:9" x14ac:dyDescent="0.25">
      <c r="A149" s="159"/>
      <c r="B149" s="147"/>
      <c r="C149" s="148"/>
      <c r="D149" s="146"/>
      <c r="E149" s="147"/>
      <c r="F149" s="147"/>
      <c r="G149" s="160"/>
      <c r="I149" s="128"/>
    </row>
    <row r="150" spans="1:9" x14ac:dyDescent="0.25">
      <c r="A150" s="149" t="s">
        <v>360</v>
      </c>
      <c r="B150" s="142"/>
      <c r="C150" s="142"/>
      <c r="D150" s="141" t="s">
        <v>361</v>
      </c>
      <c r="E150" s="142"/>
      <c r="F150" s="142"/>
      <c r="G150" s="156"/>
      <c r="I150" s="128"/>
    </row>
    <row r="151" spans="1:9" ht="15" thickBot="1" x14ac:dyDescent="0.3">
      <c r="A151" s="150"/>
      <c r="B151" s="151"/>
      <c r="C151" s="151"/>
      <c r="D151" s="152"/>
      <c r="E151" s="151"/>
      <c r="F151" s="151"/>
      <c r="G151" s="161"/>
      <c r="I151" s="128"/>
    </row>
    <row r="152" spans="1:9" x14ac:dyDescent="0.25">
      <c r="A152" s="120"/>
      <c r="B152" s="120"/>
      <c r="C152" s="120"/>
      <c r="D152" s="120"/>
      <c r="E152" s="120"/>
      <c r="F152" s="120"/>
      <c r="G152" s="120"/>
      <c r="I152" s="128"/>
    </row>
    <row r="153" spans="1:9" x14ac:dyDescent="0.25">
      <c r="I153" s="128"/>
    </row>
    <row r="154" spans="1:9" x14ac:dyDescent="0.25">
      <c r="H154" s="239"/>
      <c r="I154" s="128"/>
    </row>
  </sheetData>
  <sheetProtection algorithmName="SHA-512" hashValue="EjYU0PwL6YUNUxwCKJaQOQd1s5VO+DzfAXSUA8Ek6vYpSDIiplkNgQR59BnChQM8HN0UwpjwBTSGUE+sf94K2Q==" saltValue="ZlGXO8/UgUeJBRjYQ87/ag==" spinCount="100000" sheet="1" objects="1" scenarios="1"/>
  <mergeCells count="42">
    <mergeCell ref="A141:G141"/>
    <mergeCell ref="H2:H7"/>
    <mergeCell ref="H32:H50"/>
    <mergeCell ref="A99:B99"/>
    <mergeCell ref="H9:H12"/>
    <mergeCell ref="E105:F105"/>
    <mergeCell ref="B21:C21"/>
    <mergeCell ref="D64:E64"/>
    <mergeCell ref="D65:E65"/>
    <mergeCell ref="D66:E66"/>
    <mergeCell ref="F67:G67"/>
    <mergeCell ref="B15:C15"/>
    <mergeCell ref="B16:C16"/>
    <mergeCell ref="A134:C134"/>
    <mergeCell ref="C119:C120"/>
    <mergeCell ref="B137:C137"/>
    <mergeCell ref="A14:G14"/>
    <mergeCell ref="A19:G19"/>
    <mergeCell ref="A27:G27"/>
    <mergeCell ref="A53:G53"/>
    <mergeCell ref="A58:G58"/>
    <mergeCell ref="E15:G15"/>
    <mergeCell ref="E16:G16"/>
    <mergeCell ref="E17:G17"/>
    <mergeCell ref="A117:D118"/>
    <mergeCell ref="F20:G20"/>
    <mergeCell ref="D29:E29"/>
    <mergeCell ref="D28:G28"/>
    <mergeCell ref="D30:G30"/>
    <mergeCell ref="A100:B100"/>
    <mergeCell ref="B22:C22"/>
    <mergeCell ref="B23:C23"/>
    <mergeCell ref="H104:H115"/>
    <mergeCell ref="B24:C24"/>
    <mergeCell ref="B25:C25"/>
    <mergeCell ref="F21:G21"/>
    <mergeCell ref="F22:G22"/>
    <mergeCell ref="F23:G23"/>
    <mergeCell ref="F24:G24"/>
    <mergeCell ref="F25:G25"/>
    <mergeCell ref="A73:G73"/>
    <mergeCell ref="A104:G104"/>
  </mergeCells>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14:formula1>
            <xm:f>'listes deroulantes'!$A$3:$A$6</xm:f>
          </x14:formula1>
          <xm:sqref>B29</xm:sqref>
        </x14:dataValidation>
        <x14:dataValidation type="list" allowBlank="1" showInputMessage="1" showErrorMessage="1">
          <x14:formula1>
            <xm:f>'listes deroulantes'!$B$3:$B$7</xm:f>
          </x14:formula1>
          <xm:sqref>F29</xm:sqref>
        </x14:dataValidation>
        <x14:dataValidation type="list" allowBlank="1" showInputMessage="1" showErrorMessage="1">
          <x14:formula1>
            <xm:f>'listes deroulantes'!$C$3:$C$6</xm:f>
          </x14:formula1>
          <xm:sqref>B30</xm:sqref>
        </x14:dataValidation>
        <x14:dataValidation type="list" allowBlank="1" showInputMessage="1" showErrorMessage="1">
          <x14:formula1>
            <xm:f>'listes deroulantes'!$D$3:$D$7</xm:f>
          </x14:formula1>
          <xm:sqref>F55</xm:sqref>
        </x14:dataValidation>
        <x14:dataValidation type="list" allowBlank="1" showInputMessage="1" showErrorMessage="1">
          <x14:formula1>
            <xm:f>'listes deroulantes'!$E$3:$E$5</xm:f>
          </x14:formula1>
          <xm:sqref>B66</xm:sqref>
        </x14:dataValidation>
        <x14:dataValidation type="list" allowBlank="1" showInputMessage="1" showErrorMessage="1">
          <x14:formula1>
            <xm:f>'listes deroulantes'!$F$3:$F$5</xm:f>
          </x14:formula1>
          <xm:sqref>B67</xm:sqref>
        </x14:dataValidation>
        <x14:dataValidation type="list" allowBlank="1" showInputMessage="1" showErrorMessage="1">
          <x14:formula1>
            <xm:f>'listes deroulantes'!$G$3:$G$7</xm:f>
          </x14:formula1>
          <xm:sqref>F60</xm:sqref>
        </x14:dataValidation>
        <x14:dataValidation type="list" allowBlank="1" showInputMessage="1" showErrorMessage="1">
          <x14:formula1>
            <xm:f>'listes deroulantes'!$B$12:$B$14</xm:f>
          </x14:formula1>
          <xm:sqref>G9</xm:sqref>
        </x14:dataValidation>
        <x14:dataValidation type="list" allowBlank="1" showInputMessage="1" showErrorMessage="1">
          <x14:formula1>
            <xm:f>'listes deroulantes'!$C$12:$C$14</xm:f>
          </x14:formula1>
          <xm:sqref>G10</xm:sqref>
        </x14:dataValidation>
        <x14:dataValidation type="list" allowBlank="1" showInputMessage="1" showErrorMessage="1">
          <x14:formula1>
            <xm:f>'listes deroulantes'!$D$12:$D$14</xm:f>
          </x14:formula1>
          <xm:sqref>B17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51"/>
  <sheetViews>
    <sheetView zoomScale="85" zoomScaleNormal="85" workbookViewId="0">
      <selection activeCell="B28" sqref="B28"/>
    </sheetView>
  </sheetViews>
  <sheetFormatPr baseColWidth="10" defaultColWidth="11.44140625" defaultRowHeight="13.2" x14ac:dyDescent="0.25"/>
  <cols>
    <col min="1" max="1" width="4.109375" style="445" customWidth="1"/>
    <col min="2" max="2" width="24" style="445" customWidth="1"/>
    <col min="3" max="3" width="11.44140625" style="445"/>
    <col min="4" max="4" width="16.88671875" style="445" bestFit="1" customWidth="1"/>
    <col min="5" max="5" width="17.88671875" style="445" customWidth="1"/>
    <col min="6" max="6" width="15.88671875" style="445" bestFit="1" customWidth="1"/>
    <col min="7" max="7" width="17" style="445" customWidth="1"/>
    <col min="8" max="8" width="15.5546875" style="445" bestFit="1" customWidth="1"/>
    <col min="9" max="9" width="14" style="445" customWidth="1"/>
    <col min="10" max="10" width="12.88671875" style="445" bestFit="1" customWidth="1"/>
    <col min="11" max="11" width="13.5546875" style="445" customWidth="1"/>
    <col min="12" max="12" width="14.6640625" style="445" customWidth="1"/>
    <col min="13" max="13" width="42.5546875" style="445" customWidth="1"/>
    <col min="14" max="14" width="11.44140625" style="445"/>
    <col min="15" max="15" width="12" style="445" customWidth="1"/>
    <col min="16" max="16384" width="11.44140625" style="445"/>
  </cols>
  <sheetData>
    <row r="1" spans="2:17" ht="36.6" x14ac:dyDescent="0.85">
      <c r="B1" s="609" t="s">
        <v>474</v>
      </c>
      <c r="C1" s="609"/>
      <c r="D1" s="609"/>
      <c r="E1" s="609"/>
      <c r="F1" s="609"/>
      <c r="G1" s="609"/>
      <c r="H1" s="609"/>
      <c r="I1" s="609"/>
      <c r="J1" s="609"/>
      <c r="K1" s="609"/>
    </row>
    <row r="2" spans="2:17" ht="13.8" thickBot="1" x14ac:dyDescent="0.3"/>
    <row r="3" spans="2:17" ht="33.75" customHeight="1" thickBot="1" x14ac:dyDescent="0.3">
      <c r="B3" s="606" t="s">
        <v>464</v>
      </c>
      <c r="C3" s="607"/>
      <c r="D3" s="608"/>
      <c r="F3" s="614" t="s">
        <v>247</v>
      </c>
      <c r="G3" s="614"/>
      <c r="H3" s="614"/>
    </row>
    <row r="4" spans="2:17" ht="30.75" customHeight="1" thickBot="1" x14ac:dyDescent="0.3">
      <c r="F4" s="615" t="s">
        <v>249</v>
      </c>
      <c r="G4" s="615"/>
      <c r="H4" s="615"/>
    </row>
    <row r="5" spans="2:17" ht="21.75" customHeight="1" x14ac:dyDescent="0.25">
      <c r="B5" s="603" t="s">
        <v>269</v>
      </c>
      <c r="C5" s="604"/>
      <c r="D5" s="604"/>
      <c r="E5" s="604"/>
      <c r="F5" s="604"/>
      <c r="G5" s="604"/>
      <c r="H5" s="604"/>
      <c r="I5" s="604"/>
      <c r="J5" s="604"/>
      <c r="K5" s="605"/>
      <c r="M5" s="603" t="s">
        <v>475</v>
      </c>
      <c r="N5" s="604"/>
      <c r="O5" s="604"/>
      <c r="P5" s="605"/>
    </row>
    <row r="6" spans="2:17" ht="43.2" x14ac:dyDescent="0.25">
      <c r="B6" s="446" t="s">
        <v>362</v>
      </c>
      <c r="C6" s="447" t="s">
        <v>271</v>
      </c>
      <c r="D6" s="447" t="s">
        <v>363</v>
      </c>
      <c r="E6" s="447" t="s">
        <v>364</v>
      </c>
      <c r="F6" s="447" t="s">
        <v>365</v>
      </c>
      <c r="G6" s="447" t="s">
        <v>471</v>
      </c>
      <c r="H6" s="447" t="s">
        <v>366</v>
      </c>
      <c r="I6" s="447" t="s">
        <v>367</v>
      </c>
      <c r="J6" s="447" t="s">
        <v>469</v>
      </c>
      <c r="K6" s="448" t="s">
        <v>470</v>
      </c>
      <c r="M6" s="446" t="s">
        <v>372</v>
      </c>
      <c r="N6" s="449" t="s">
        <v>373</v>
      </c>
      <c r="O6" s="449" t="s">
        <v>480</v>
      </c>
      <c r="P6" s="450" t="s">
        <v>481</v>
      </c>
      <c r="Q6" s="451"/>
    </row>
    <row r="7" spans="2:17" ht="17.25" customHeight="1" x14ac:dyDescent="0.25">
      <c r="B7" s="408" t="s">
        <v>368</v>
      </c>
      <c r="C7" s="409" t="s">
        <v>369</v>
      </c>
      <c r="D7" s="409">
        <v>2</v>
      </c>
      <c r="E7" s="410">
        <v>12800</v>
      </c>
      <c r="F7" s="452">
        <f>D7*E7</f>
        <v>25600</v>
      </c>
      <c r="G7" s="411">
        <v>0.8</v>
      </c>
      <c r="H7" s="452">
        <f>F7*G7</f>
        <v>20480</v>
      </c>
      <c r="I7" s="411">
        <v>0.7</v>
      </c>
      <c r="J7" s="452">
        <f>H7*I7</f>
        <v>14336</v>
      </c>
      <c r="K7" s="453">
        <f>H7-J7</f>
        <v>6144</v>
      </c>
      <c r="M7" s="454" t="str">
        <f>'Fiche de synthèse'!A88</f>
        <v>Génie Civil chaufferie + silo</v>
      </c>
      <c r="N7" s="452">
        <f>'Fiche de synthèse'!G88</f>
        <v>0</v>
      </c>
      <c r="O7" s="409"/>
      <c r="P7" s="453">
        <f>IF(O7=0,0,N7/O7)</f>
        <v>0</v>
      </c>
    </row>
    <row r="8" spans="2:17" ht="17.25" customHeight="1" x14ac:dyDescent="0.25">
      <c r="B8" s="412" t="s">
        <v>370</v>
      </c>
      <c r="C8" s="413" t="s">
        <v>371</v>
      </c>
      <c r="D8" s="413">
        <v>25000</v>
      </c>
      <c r="E8" s="414">
        <v>1</v>
      </c>
      <c r="F8" s="452">
        <f t="shared" ref="F8:F22" si="0">D8*E8</f>
        <v>25000</v>
      </c>
      <c r="G8" s="415">
        <v>1.1000000000000001</v>
      </c>
      <c r="H8" s="452">
        <f t="shared" ref="H8:H22" si="1">F8*G8</f>
        <v>27500.000000000004</v>
      </c>
      <c r="I8" s="415">
        <v>0.8</v>
      </c>
      <c r="J8" s="452">
        <f t="shared" ref="J8:J22" si="2">H8*I8</f>
        <v>22000.000000000004</v>
      </c>
      <c r="K8" s="453">
        <f t="shared" ref="K8:K22" si="3">H8-J8</f>
        <v>5500</v>
      </c>
      <c r="M8" s="454" t="str">
        <f>'Fiche de synthèse'!A89</f>
        <v>Chaudière bois et périphériques</v>
      </c>
      <c r="N8" s="452">
        <f>'Fiche de synthèse'!G89</f>
        <v>0</v>
      </c>
      <c r="O8" s="413"/>
      <c r="P8" s="453">
        <f t="shared" ref="P8:P13" si="4">IF(O8=0,0,N8/O8)</f>
        <v>0</v>
      </c>
      <c r="Q8" s="455"/>
    </row>
    <row r="9" spans="2:17" ht="17.25" customHeight="1" x14ac:dyDescent="0.25">
      <c r="B9" s="408"/>
      <c r="C9" s="409"/>
      <c r="D9" s="409"/>
      <c r="E9" s="410"/>
      <c r="F9" s="452">
        <f t="shared" si="0"/>
        <v>0</v>
      </c>
      <c r="G9" s="411"/>
      <c r="H9" s="452">
        <f t="shared" si="1"/>
        <v>0</v>
      </c>
      <c r="I9" s="411"/>
      <c r="J9" s="452">
        <f t="shared" si="2"/>
        <v>0</v>
      </c>
      <c r="K9" s="453">
        <f t="shared" si="3"/>
        <v>0</v>
      </c>
      <c r="M9" s="454" t="str">
        <f>'Fiche de synthèse'!A90</f>
        <v>Traitement des fumées</v>
      </c>
      <c r="N9" s="452">
        <f>'Fiche de synthèse'!G90</f>
        <v>0</v>
      </c>
      <c r="O9" s="409"/>
      <c r="P9" s="453">
        <f t="shared" si="4"/>
        <v>0</v>
      </c>
      <c r="Q9" s="456"/>
    </row>
    <row r="10" spans="2:17" ht="17.25" customHeight="1" x14ac:dyDescent="0.25">
      <c r="B10" s="412"/>
      <c r="C10" s="413"/>
      <c r="D10" s="413"/>
      <c r="E10" s="414"/>
      <c r="F10" s="452">
        <f t="shared" si="0"/>
        <v>0</v>
      </c>
      <c r="G10" s="415"/>
      <c r="H10" s="452">
        <f t="shared" si="1"/>
        <v>0</v>
      </c>
      <c r="I10" s="415"/>
      <c r="J10" s="452">
        <f t="shared" si="2"/>
        <v>0</v>
      </c>
      <c r="K10" s="453">
        <f t="shared" si="3"/>
        <v>0</v>
      </c>
      <c r="M10" s="454" t="str">
        <f>'Fiche de synthèse'!A91</f>
        <v>Chaudière appoint et périphériques</v>
      </c>
      <c r="N10" s="452">
        <f>'Fiche de synthèse'!G91</f>
        <v>0</v>
      </c>
      <c r="O10" s="413"/>
      <c r="P10" s="453">
        <f t="shared" si="4"/>
        <v>0</v>
      </c>
      <c r="Q10" s="456"/>
    </row>
    <row r="11" spans="2:17" ht="17.25" customHeight="1" x14ac:dyDescent="0.25">
      <c r="B11" s="408"/>
      <c r="C11" s="409"/>
      <c r="D11" s="409"/>
      <c r="E11" s="410"/>
      <c r="F11" s="452">
        <f t="shared" si="0"/>
        <v>0</v>
      </c>
      <c r="G11" s="411"/>
      <c r="H11" s="452">
        <f t="shared" si="1"/>
        <v>0</v>
      </c>
      <c r="I11" s="411"/>
      <c r="J11" s="452">
        <f t="shared" si="2"/>
        <v>0</v>
      </c>
      <c r="K11" s="453">
        <f t="shared" si="3"/>
        <v>0</v>
      </c>
      <c r="M11" s="454" t="str">
        <f>'Fiche de synthèse'!A92</f>
        <v>Compteur sortie chaudière bois et appoint</v>
      </c>
      <c r="N11" s="452">
        <f>'Fiche de synthèse'!G92</f>
        <v>0</v>
      </c>
      <c r="O11" s="409"/>
      <c r="P11" s="453">
        <f t="shared" si="4"/>
        <v>0</v>
      </c>
      <c r="Q11" s="456"/>
    </row>
    <row r="12" spans="2:17" ht="17.25" customHeight="1" x14ac:dyDescent="0.25">
      <c r="B12" s="412"/>
      <c r="C12" s="413"/>
      <c r="D12" s="413"/>
      <c r="E12" s="414"/>
      <c r="F12" s="452">
        <f t="shared" si="0"/>
        <v>0</v>
      </c>
      <c r="G12" s="415"/>
      <c r="H12" s="452">
        <f t="shared" si="1"/>
        <v>0</v>
      </c>
      <c r="I12" s="415"/>
      <c r="J12" s="452">
        <f t="shared" si="2"/>
        <v>0</v>
      </c>
      <c r="K12" s="453">
        <f t="shared" si="3"/>
        <v>0</v>
      </c>
      <c r="M12" s="454" t="str">
        <f>'Fiche de synthèse'!A93</f>
        <v>Sous-stations</v>
      </c>
      <c r="N12" s="452">
        <f>'Fiche de synthèse'!G93</f>
        <v>0</v>
      </c>
      <c r="O12" s="413"/>
      <c r="P12" s="453">
        <f t="shared" si="4"/>
        <v>0</v>
      </c>
      <c r="Q12" s="456"/>
    </row>
    <row r="13" spans="2:17" ht="17.25" customHeight="1" thickBot="1" x14ac:dyDescent="0.3">
      <c r="B13" s="408"/>
      <c r="C13" s="409"/>
      <c r="D13" s="409"/>
      <c r="E13" s="410"/>
      <c r="F13" s="452">
        <f t="shared" si="0"/>
        <v>0</v>
      </c>
      <c r="G13" s="411"/>
      <c r="H13" s="452">
        <f t="shared" si="1"/>
        <v>0</v>
      </c>
      <c r="I13" s="411"/>
      <c r="J13" s="452">
        <f t="shared" si="2"/>
        <v>0</v>
      </c>
      <c r="K13" s="453">
        <f t="shared" si="3"/>
        <v>0</v>
      </c>
      <c r="M13" s="457" t="str">
        <f>'Fiche de synthèse'!A94</f>
        <v>Réseau de chaleur</v>
      </c>
      <c r="N13" s="458">
        <f>'Fiche de synthèse'!G94</f>
        <v>0</v>
      </c>
      <c r="O13" s="420"/>
      <c r="P13" s="459">
        <f t="shared" si="4"/>
        <v>0</v>
      </c>
      <c r="Q13" s="456"/>
    </row>
    <row r="14" spans="2:17" ht="17.25" customHeight="1" thickTop="1" thickBot="1" x14ac:dyDescent="0.3">
      <c r="B14" s="412"/>
      <c r="C14" s="413"/>
      <c r="D14" s="413"/>
      <c r="E14" s="414"/>
      <c r="F14" s="452">
        <f t="shared" si="0"/>
        <v>0</v>
      </c>
      <c r="G14" s="415"/>
      <c r="H14" s="452">
        <f t="shared" si="1"/>
        <v>0</v>
      </c>
      <c r="I14" s="415"/>
      <c r="J14" s="452">
        <f t="shared" si="2"/>
        <v>0</v>
      </c>
      <c r="K14" s="453">
        <f t="shared" si="3"/>
        <v>0</v>
      </c>
      <c r="M14" s="460" t="s">
        <v>374</v>
      </c>
      <c r="N14" s="461">
        <f>SUM(N7:N13)</f>
        <v>0</v>
      </c>
      <c r="O14" s="462" t="e">
        <f>N14/P14</f>
        <v>#DIV/0!</v>
      </c>
      <c r="P14" s="463">
        <f>ROUND(SUM(P7:P13),-2)</f>
        <v>0</v>
      </c>
      <c r="Q14" s="456"/>
    </row>
    <row r="15" spans="2:17" ht="17.25" customHeight="1" x14ac:dyDescent="0.25">
      <c r="B15" s="408"/>
      <c r="C15" s="409"/>
      <c r="D15" s="409"/>
      <c r="E15" s="410"/>
      <c r="F15" s="452">
        <f t="shared" si="0"/>
        <v>0</v>
      </c>
      <c r="G15" s="411"/>
      <c r="H15" s="452">
        <f t="shared" si="1"/>
        <v>0</v>
      </c>
      <c r="I15" s="411"/>
      <c r="J15" s="452">
        <f t="shared" si="2"/>
        <v>0</v>
      </c>
      <c r="K15" s="453">
        <f t="shared" si="3"/>
        <v>0</v>
      </c>
      <c r="Q15" s="456"/>
    </row>
    <row r="16" spans="2:17" ht="17.25" customHeight="1" x14ac:dyDescent="0.25">
      <c r="B16" s="412"/>
      <c r="C16" s="413"/>
      <c r="D16" s="413"/>
      <c r="E16" s="414"/>
      <c r="F16" s="452">
        <f t="shared" si="0"/>
        <v>0</v>
      </c>
      <c r="G16" s="415"/>
      <c r="H16" s="452">
        <f t="shared" si="1"/>
        <v>0</v>
      </c>
      <c r="I16" s="415"/>
      <c r="J16" s="452">
        <f t="shared" si="2"/>
        <v>0</v>
      </c>
      <c r="K16" s="453">
        <f t="shared" si="3"/>
        <v>0</v>
      </c>
      <c r="M16" s="456"/>
      <c r="N16" s="456"/>
      <c r="O16" s="456"/>
      <c r="P16" s="456"/>
      <c r="Q16" s="456"/>
    </row>
    <row r="17" spans="2:17" ht="17.25" customHeight="1" x14ac:dyDescent="0.25">
      <c r="B17" s="408"/>
      <c r="C17" s="409"/>
      <c r="D17" s="409"/>
      <c r="E17" s="410"/>
      <c r="F17" s="452">
        <f t="shared" si="0"/>
        <v>0</v>
      </c>
      <c r="G17" s="411"/>
      <c r="H17" s="452">
        <f t="shared" si="1"/>
        <v>0</v>
      </c>
      <c r="I17" s="411"/>
      <c r="J17" s="452">
        <f t="shared" si="2"/>
        <v>0</v>
      </c>
      <c r="K17" s="453">
        <f t="shared" si="3"/>
        <v>0</v>
      </c>
      <c r="M17" s="456"/>
      <c r="N17" s="456"/>
      <c r="O17" s="456"/>
      <c r="P17" s="456"/>
      <c r="Q17" s="456"/>
    </row>
    <row r="18" spans="2:17" ht="17.25" customHeight="1" x14ac:dyDescent="0.25">
      <c r="B18" s="412"/>
      <c r="C18" s="413"/>
      <c r="D18" s="413"/>
      <c r="E18" s="414"/>
      <c r="F18" s="452">
        <f t="shared" si="0"/>
        <v>0</v>
      </c>
      <c r="G18" s="415"/>
      <c r="H18" s="452">
        <f t="shared" si="1"/>
        <v>0</v>
      </c>
      <c r="I18" s="415"/>
      <c r="J18" s="452">
        <f t="shared" si="2"/>
        <v>0</v>
      </c>
      <c r="K18" s="453">
        <f t="shared" si="3"/>
        <v>0</v>
      </c>
    </row>
    <row r="19" spans="2:17" ht="17.25" customHeight="1" x14ac:dyDescent="0.25">
      <c r="B19" s="408"/>
      <c r="C19" s="409"/>
      <c r="D19" s="409"/>
      <c r="E19" s="410"/>
      <c r="F19" s="452">
        <f t="shared" si="0"/>
        <v>0</v>
      </c>
      <c r="G19" s="411"/>
      <c r="H19" s="452">
        <f t="shared" si="1"/>
        <v>0</v>
      </c>
      <c r="I19" s="411"/>
      <c r="J19" s="452">
        <f t="shared" si="2"/>
        <v>0</v>
      </c>
      <c r="K19" s="453">
        <f t="shared" si="3"/>
        <v>0</v>
      </c>
    </row>
    <row r="20" spans="2:17" ht="17.25" customHeight="1" x14ac:dyDescent="0.25">
      <c r="B20" s="412"/>
      <c r="C20" s="413"/>
      <c r="D20" s="413"/>
      <c r="E20" s="414"/>
      <c r="F20" s="452">
        <f t="shared" si="0"/>
        <v>0</v>
      </c>
      <c r="G20" s="415"/>
      <c r="H20" s="452">
        <f t="shared" si="1"/>
        <v>0</v>
      </c>
      <c r="I20" s="415"/>
      <c r="J20" s="452">
        <f t="shared" si="2"/>
        <v>0</v>
      </c>
      <c r="K20" s="453">
        <f t="shared" si="3"/>
        <v>0</v>
      </c>
    </row>
    <row r="21" spans="2:17" ht="17.25" customHeight="1" x14ac:dyDescent="0.25">
      <c r="B21" s="408"/>
      <c r="C21" s="409"/>
      <c r="D21" s="409"/>
      <c r="E21" s="410"/>
      <c r="F21" s="452">
        <f t="shared" si="0"/>
        <v>0</v>
      </c>
      <c r="G21" s="411"/>
      <c r="H21" s="452">
        <f t="shared" si="1"/>
        <v>0</v>
      </c>
      <c r="I21" s="411"/>
      <c r="J21" s="452">
        <f t="shared" si="2"/>
        <v>0</v>
      </c>
      <c r="K21" s="453">
        <f t="shared" si="3"/>
        <v>0</v>
      </c>
    </row>
    <row r="22" spans="2:17" ht="17.25" customHeight="1" thickBot="1" x14ac:dyDescent="0.3">
      <c r="B22" s="416"/>
      <c r="C22" s="417"/>
      <c r="D22" s="417"/>
      <c r="E22" s="418"/>
      <c r="F22" s="458">
        <f t="shared" si="0"/>
        <v>0</v>
      </c>
      <c r="G22" s="419"/>
      <c r="H22" s="458">
        <f t="shared" si="1"/>
        <v>0</v>
      </c>
      <c r="I22" s="419"/>
      <c r="J22" s="458">
        <f t="shared" si="2"/>
        <v>0</v>
      </c>
      <c r="K22" s="459">
        <f t="shared" si="3"/>
        <v>0</v>
      </c>
    </row>
    <row r="23" spans="2:17" ht="17.25" customHeight="1" thickTop="1" x14ac:dyDescent="0.25">
      <c r="B23" s="464" t="s">
        <v>272</v>
      </c>
      <c r="C23" s="465"/>
      <c r="D23" s="465"/>
      <c r="E23" s="465"/>
      <c r="F23" s="465">
        <f>SUM(F7:F22)</f>
        <v>50600</v>
      </c>
      <c r="G23" s="466">
        <f>H23/F23</f>
        <v>0.94822134387351775</v>
      </c>
      <c r="H23" s="465">
        <f>SUM(H7:H22)</f>
        <v>47980</v>
      </c>
      <c r="I23" s="466">
        <f>J23/H23</f>
        <v>0.75731554814506041</v>
      </c>
      <c r="J23" s="465">
        <f>SUM(J7:J22)</f>
        <v>36336</v>
      </c>
      <c r="K23" s="465">
        <f>SUM(K7:K22)</f>
        <v>11644</v>
      </c>
    </row>
    <row r="24" spans="2:17" ht="29.25" customHeight="1" thickBot="1" x14ac:dyDescent="0.4">
      <c r="B24" s="467"/>
      <c r="C24" s="468"/>
      <c r="D24" s="469"/>
      <c r="E24" s="469"/>
      <c r="F24" s="469"/>
      <c r="G24" s="469"/>
      <c r="H24" s="469"/>
      <c r="I24" s="469"/>
      <c r="J24" s="467"/>
      <c r="K24" s="467"/>
      <c r="L24" s="467"/>
    </row>
    <row r="25" spans="2:17" ht="21.75" customHeight="1" x14ac:dyDescent="0.25">
      <c r="B25" s="603" t="s">
        <v>375</v>
      </c>
      <c r="C25" s="604"/>
      <c r="D25" s="604"/>
      <c r="E25" s="604"/>
      <c r="F25" s="604"/>
      <c r="G25" s="604"/>
      <c r="H25" s="604"/>
      <c r="I25" s="604"/>
      <c r="J25" s="604"/>
      <c r="K25" s="605"/>
      <c r="L25" s="470"/>
    </row>
    <row r="26" spans="2:17" ht="28.8" x14ac:dyDescent="0.25">
      <c r="B26" s="446" t="str">
        <f>'Fiche de synthèse'!A33</f>
        <v>Bâtiment</v>
      </c>
      <c r="C26" s="447" t="str">
        <f>'Fiche de synthèse'!B33</f>
        <v>Surface chauffée</v>
      </c>
      <c r="D26" s="447" t="s">
        <v>376</v>
      </c>
      <c r="E26" s="447" t="s">
        <v>377</v>
      </c>
      <c r="F26" s="447" t="s">
        <v>485</v>
      </c>
      <c r="G26" s="447" t="s">
        <v>378</v>
      </c>
      <c r="H26" s="447" t="s">
        <v>379</v>
      </c>
      <c r="I26" s="447" t="s">
        <v>380</v>
      </c>
      <c r="J26" s="447" t="s">
        <v>476</v>
      </c>
      <c r="K26" s="448" t="s">
        <v>381</v>
      </c>
      <c r="L26" s="471"/>
    </row>
    <row r="27" spans="2:17" ht="14.4" x14ac:dyDescent="0.25">
      <c r="B27" s="446"/>
      <c r="C27" s="447" t="s">
        <v>93</v>
      </c>
      <c r="D27" s="447" t="s">
        <v>382</v>
      </c>
      <c r="E27" s="447" t="s">
        <v>382</v>
      </c>
      <c r="F27" s="447"/>
      <c r="G27" s="447" t="s">
        <v>382</v>
      </c>
      <c r="H27" s="447" t="s">
        <v>382</v>
      </c>
      <c r="I27" s="447" t="s">
        <v>382</v>
      </c>
      <c r="J27" s="447" t="s">
        <v>382</v>
      </c>
      <c r="K27" s="448" t="s">
        <v>7</v>
      </c>
      <c r="L27" s="467"/>
    </row>
    <row r="28" spans="2:17" ht="17.25" customHeight="1" x14ac:dyDescent="0.25">
      <c r="B28" s="426"/>
      <c r="C28" s="410"/>
      <c r="D28" s="410"/>
      <c r="E28" s="410"/>
      <c r="F28" s="410"/>
      <c r="G28" s="472">
        <f t="shared" ref="G28:G37" si="5">D28+E28</f>
        <v>0</v>
      </c>
      <c r="H28" s="472">
        <f t="shared" ref="H28:H37" si="6">G28*0.3</f>
        <v>0</v>
      </c>
      <c r="I28" s="472">
        <f>IF(D28=0,0,IF(F28=0,C28/100*2000,2000*F28))</f>
        <v>0</v>
      </c>
      <c r="J28" s="473">
        <f>MIN(H28:I28)</f>
        <v>0</v>
      </c>
      <c r="K28" s="474" t="str">
        <f>IF(G28=0,"",J28/G28)</f>
        <v/>
      </c>
      <c r="L28" s="467"/>
    </row>
    <row r="29" spans="2:17" ht="17.25" customHeight="1" x14ac:dyDescent="0.25">
      <c r="B29" s="427"/>
      <c r="C29" s="414"/>
      <c r="D29" s="414"/>
      <c r="E29" s="414"/>
      <c r="F29" s="414"/>
      <c r="G29" s="472">
        <f t="shared" si="5"/>
        <v>0</v>
      </c>
      <c r="H29" s="472">
        <f t="shared" si="6"/>
        <v>0</v>
      </c>
      <c r="I29" s="472">
        <f t="shared" ref="I29:I37" si="7">IF(D29=0,0,IF(F29=0,C29/100*2000,2000*F29))</f>
        <v>0</v>
      </c>
      <c r="J29" s="473">
        <f t="shared" ref="J29:J37" si="8">MIN(H29:I29)</f>
        <v>0</v>
      </c>
      <c r="K29" s="474" t="str">
        <f t="shared" ref="K29:K37" si="9">IF(G29=0,"",J29/G29)</f>
        <v/>
      </c>
      <c r="L29" s="467"/>
    </row>
    <row r="30" spans="2:17" ht="17.25" customHeight="1" x14ac:dyDescent="0.25">
      <c r="B30" s="426" t="str">
        <f>IF('Fiche de synthèse'!A36="","",'Fiche de synthèse'!A36)</f>
        <v/>
      </c>
      <c r="C30" s="410" t="str">
        <f>IF('Fiche de synthèse'!B36="","",'Fiche de synthèse'!B36)</f>
        <v/>
      </c>
      <c r="D30" s="410"/>
      <c r="E30" s="410"/>
      <c r="F30" s="410"/>
      <c r="G30" s="472">
        <f t="shared" si="5"/>
        <v>0</v>
      </c>
      <c r="H30" s="472">
        <f t="shared" si="6"/>
        <v>0</v>
      </c>
      <c r="I30" s="472">
        <f t="shared" si="7"/>
        <v>0</v>
      </c>
      <c r="J30" s="473">
        <f t="shared" si="8"/>
        <v>0</v>
      </c>
      <c r="K30" s="474" t="str">
        <f t="shared" si="9"/>
        <v/>
      </c>
      <c r="L30" s="467"/>
    </row>
    <row r="31" spans="2:17" ht="17.25" customHeight="1" x14ac:dyDescent="0.25">
      <c r="B31" s="427" t="str">
        <f>IF('Fiche de synthèse'!A37="","",'Fiche de synthèse'!A37)</f>
        <v/>
      </c>
      <c r="C31" s="414" t="str">
        <f>IF('Fiche de synthèse'!B37="","",'Fiche de synthèse'!B37)</f>
        <v/>
      </c>
      <c r="D31" s="414"/>
      <c r="E31" s="414"/>
      <c r="F31" s="414"/>
      <c r="G31" s="472">
        <f t="shared" si="5"/>
        <v>0</v>
      </c>
      <c r="H31" s="472">
        <f t="shared" si="6"/>
        <v>0</v>
      </c>
      <c r="I31" s="472">
        <f t="shared" si="7"/>
        <v>0</v>
      </c>
      <c r="J31" s="473">
        <f t="shared" si="8"/>
        <v>0</v>
      </c>
      <c r="K31" s="474" t="str">
        <f t="shared" si="9"/>
        <v/>
      </c>
      <c r="L31" s="467"/>
    </row>
    <row r="32" spans="2:17" ht="17.25" customHeight="1" x14ac:dyDescent="0.25">
      <c r="B32" s="426" t="str">
        <f>IF('Fiche de synthèse'!A38="","",'Fiche de synthèse'!A38)</f>
        <v/>
      </c>
      <c r="C32" s="410" t="str">
        <f>IF('Fiche de synthèse'!B38="","",'Fiche de synthèse'!B38)</f>
        <v/>
      </c>
      <c r="D32" s="410"/>
      <c r="E32" s="410"/>
      <c r="F32" s="410"/>
      <c r="G32" s="472">
        <f t="shared" si="5"/>
        <v>0</v>
      </c>
      <c r="H32" s="472">
        <f t="shared" si="6"/>
        <v>0</v>
      </c>
      <c r="I32" s="472">
        <f t="shared" si="7"/>
        <v>0</v>
      </c>
      <c r="J32" s="473">
        <f t="shared" si="8"/>
        <v>0</v>
      </c>
      <c r="K32" s="474" t="str">
        <f t="shared" si="9"/>
        <v/>
      </c>
      <c r="L32" s="467"/>
    </row>
    <row r="33" spans="2:12" ht="17.25" customHeight="1" x14ac:dyDescent="0.25">
      <c r="B33" s="427" t="str">
        <f>IF('Fiche de synthèse'!A39="","",'Fiche de synthèse'!A39)</f>
        <v/>
      </c>
      <c r="C33" s="414" t="str">
        <f>IF('Fiche de synthèse'!B39="","",'Fiche de synthèse'!B39)</f>
        <v/>
      </c>
      <c r="D33" s="414"/>
      <c r="E33" s="414"/>
      <c r="F33" s="414"/>
      <c r="G33" s="472">
        <f t="shared" si="5"/>
        <v>0</v>
      </c>
      <c r="H33" s="472">
        <f t="shared" si="6"/>
        <v>0</v>
      </c>
      <c r="I33" s="472">
        <f t="shared" si="7"/>
        <v>0</v>
      </c>
      <c r="J33" s="473">
        <f t="shared" si="8"/>
        <v>0</v>
      </c>
      <c r="K33" s="474" t="str">
        <f t="shared" si="9"/>
        <v/>
      </c>
      <c r="L33" s="467"/>
    </row>
    <row r="34" spans="2:12" ht="17.25" customHeight="1" x14ac:dyDescent="0.25">
      <c r="B34" s="426" t="str">
        <f>IF('Fiche de synthèse'!A40="","",'Fiche de synthèse'!A40)</f>
        <v/>
      </c>
      <c r="C34" s="410" t="str">
        <f>IF('Fiche de synthèse'!B40="","",'Fiche de synthèse'!B40)</f>
        <v/>
      </c>
      <c r="D34" s="410"/>
      <c r="E34" s="410"/>
      <c r="F34" s="410"/>
      <c r="G34" s="472">
        <f t="shared" si="5"/>
        <v>0</v>
      </c>
      <c r="H34" s="472">
        <f t="shared" si="6"/>
        <v>0</v>
      </c>
      <c r="I34" s="472">
        <f t="shared" si="7"/>
        <v>0</v>
      </c>
      <c r="J34" s="473">
        <f t="shared" si="8"/>
        <v>0</v>
      </c>
      <c r="K34" s="474" t="str">
        <f t="shared" si="9"/>
        <v/>
      </c>
      <c r="L34" s="467"/>
    </row>
    <row r="35" spans="2:12" ht="17.25" customHeight="1" x14ac:dyDescent="0.25">
      <c r="B35" s="427" t="str">
        <f>IF('Fiche de synthèse'!A41="","",'Fiche de synthèse'!A41)</f>
        <v/>
      </c>
      <c r="C35" s="414" t="str">
        <f>IF('Fiche de synthèse'!B41="","",'Fiche de synthèse'!B41)</f>
        <v/>
      </c>
      <c r="D35" s="414"/>
      <c r="E35" s="414"/>
      <c r="F35" s="414"/>
      <c r="G35" s="472">
        <f t="shared" si="5"/>
        <v>0</v>
      </c>
      <c r="H35" s="472">
        <f t="shared" si="6"/>
        <v>0</v>
      </c>
      <c r="I35" s="472">
        <f t="shared" si="7"/>
        <v>0</v>
      </c>
      <c r="J35" s="473">
        <f t="shared" si="8"/>
        <v>0</v>
      </c>
      <c r="K35" s="474" t="str">
        <f t="shared" si="9"/>
        <v/>
      </c>
      <c r="L35" s="467"/>
    </row>
    <row r="36" spans="2:12" ht="17.25" customHeight="1" x14ac:dyDescent="0.25">
      <c r="B36" s="426" t="str">
        <f>IF('Fiche de synthèse'!A42="","",'Fiche de synthèse'!A42)</f>
        <v/>
      </c>
      <c r="C36" s="410" t="str">
        <f>IF('Fiche de synthèse'!B42="","",'Fiche de synthèse'!B42)</f>
        <v/>
      </c>
      <c r="D36" s="410"/>
      <c r="E36" s="410"/>
      <c r="F36" s="410"/>
      <c r="G36" s="472">
        <f t="shared" si="5"/>
        <v>0</v>
      </c>
      <c r="H36" s="472">
        <f t="shared" si="6"/>
        <v>0</v>
      </c>
      <c r="I36" s="472">
        <f t="shared" si="7"/>
        <v>0</v>
      </c>
      <c r="J36" s="473">
        <f t="shared" si="8"/>
        <v>0</v>
      </c>
      <c r="K36" s="474" t="str">
        <f t="shared" si="9"/>
        <v/>
      </c>
      <c r="L36" s="467"/>
    </row>
    <row r="37" spans="2:12" ht="17.25" customHeight="1" thickBot="1" x14ac:dyDescent="0.3">
      <c r="B37" s="428" t="str">
        <f>IF('Fiche de synthèse'!A43="","",'Fiche de synthèse'!A43)</f>
        <v/>
      </c>
      <c r="C37" s="418" t="str">
        <f>IF('Fiche de synthèse'!B43="","",'Fiche de synthèse'!B43)</f>
        <v/>
      </c>
      <c r="D37" s="418"/>
      <c r="E37" s="418"/>
      <c r="F37" s="418"/>
      <c r="G37" s="475">
        <f t="shared" si="5"/>
        <v>0</v>
      </c>
      <c r="H37" s="475">
        <f t="shared" si="6"/>
        <v>0</v>
      </c>
      <c r="I37" s="475">
        <f t="shared" si="7"/>
        <v>0</v>
      </c>
      <c r="J37" s="476">
        <f t="shared" si="8"/>
        <v>0</v>
      </c>
      <c r="K37" s="477" t="str">
        <f t="shared" si="9"/>
        <v/>
      </c>
      <c r="L37" s="467"/>
    </row>
    <row r="38" spans="2:12" ht="17.25" customHeight="1" thickTop="1" thickBot="1" x14ac:dyDescent="0.3">
      <c r="B38" s="478" t="s">
        <v>383</v>
      </c>
      <c r="C38" s="479">
        <f t="shared" ref="C38:E38" si="10">SUM(C28:C37)</f>
        <v>0</v>
      </c>
      <c r="D38" s="479">
        <f t="shared" si="10"/>
        <v>0</v>
      </c>
      <c r="E38" s="479">
        <f t="shared" si="10"/>
        <v>0</v>
      </c>
      <c r="F38" s="479">
        <f t="shared" ref="F38" si="11">SUM(F28:F37)</f>
        <v>0</v>
      </c>
      <c r="G38" s="479">
        <f>SUM(G28:G37)</f>
        <v>0</v>
      </c>
      <c r="H38" s="479">
        <f>SUM(H28:H37)</f>
        <v>0</v>
      </c>
      <c r="I38" s="479">
        <f>SUM(I28:I37)</f>
        <v>0</v>
      </c>
      <c r="J38" s="480">
        <f>MIN(SUM(J28:J37),50000)</f>
        <v>0</v>
      </c>
      <c r="K38" s="481" t="e">
        <f>J38/G38</f>
        <v>#DIV/0!</v>
      </c>
      <c r="L38" s="467"/>
    </row>
    <row r="39" spans="2:12" ht="45" customHeight="1" x14ac:dyDescent="0.25">
      <c r="B39" s="467"/>
      <c r="C39" s="469"/>
      <c r="D39" s="469"/>
      <c r="E39" s="469"/>
      <c r="F39" s="469"/>
      <c r="G39" s="469"/>
      <c r="H39" s="469"/>
      <c r="I39" s="469"/>
      <c r="J39" s="467"/>
      <c r="K39" s="467"/>
      <c r="L39" s="467"/>
    </row>
    <row r="40" spans="2:12" ht="13.8" thickBot="1" x14ac:dyDescent="0.3">
      <c r="C40" s="467"/>
      <c r="L40" s="467"/>
    </row>
    <row r="41" spans="2:12" ht="33.75" customHeight="1" thickBot="1" x14ac:dyDescent="0.3">
      <c r="B41" s="612" t="s">
        <v>384</v>
      </c>
      <c r="C41" s="613"/>
      <c r="L41" s="467"/>
    </row>
    <row r="42" spans="2:12" ht="17.25" customHeight="1" thickBot="1" x14ac:dyDescent="0.3">
      <c r="B42" s="482" t="s">
        <v>385</v>
      </c>
      <c r="C42" s="483">
        <v>0</v>
      </c>
      <c r="L42" s="467"/>
    </row>
    <row r="43" spans="2:12" ht="17.25" customHeight="1" thickTop="1" thickBot="1" x14ac:dyDescent="0.3">
      <c r="B43" s="484" t="s">
        <v>386</v>
      </c>
      <c r="C43" s="485">
        <f>0.1*C42</f>
        <v>0</v>
      </c>
      <c r="L43" s="467"/>
    </row>
    <row r="44" spans="2:12" x14ac:dyDescent="0.25">
      <c r="B44" s="467"/>
      <c r="C44" s="467"/>
      <c r="L44" s="467"/>
    </row>
    <row r="45" spans="2:12" ht="13.8" thickBot="1" x14ac:dyDescent="0.3">
      <c r="C45" s="467"/>
      <c r="L45" s="467"/>
    </row>
    <row r="46" spans="2:12" ht="16.2" thickBot="1" x14ac:dyDescent="0.3">
      <c r="B46" s="610" t="s">
        <v>477</v>
      </c>
      <c r="C46" s="611"/>
      <c r="L46" s="467"/>
    </row>
    <row r="47" spans="2:12" ht="17.25" customHeight="1" x14ac:dyDescent="0.25">
      <c r="B47" s="486" t="s">
        <v>399</v>
      </c>
      <c r="C47" s="487">
        <v>0</v>
      </c>
      <c r="L47" s="467"/>
    </row>
    <row r="48" spans="2:12" ht="28.8" x14ac:dyDescent="0.25">
      <c r="B48" s="488" t="s">
        <v>400</v>
      </c>
      <c r="C48" s="489">
        <f>J38</f>
        <v>0</v>
      </c>
      <c r="L48" s="467"/>
    </row>
    <row r="49" spans="2:12" ht="15" thickBot="1" x14ac:dyDescent="0.3">
      <c r="B49" s="490" t="s">
        <v>401</v>
      </c>
      <c r="C49" s="491">
        <f>C43</f>
        <v>0</v>
      </c>
      <c r="L49" s="467"/>
    </row>
    <row r="50" spans="2:12" ht="17.25" customHeight="1" thickTop="1" thickBot="1" x14ac:dyDescent="0.3">
      <c r="B50" s="492" t="s">
        <v>402</v>
      </c>
      <c r="C50" s="493">
        <f>SUM(C47:C49)</f>
        <v>0</v>
      </c>
      <c r="D50" s="445" t="s">
        <v>478</v>
      </c>
      <c r="L50" s="467"/>
    </row>
    <row r="51" spans="2:12" x14ac:dyDescent="0.25">
      <c r="D51" s="445" t="s">
        <v>479</v>
      </c>
    </row>
  </sheetData>
  <sheetProtection algorithmName="SHA-512" hashValue="gJNsFIoc+Y2fWA7HD5GPfOQAIWT1c2a9lwwUbQpSAS0BNMi0UpwUua35ILPnKJmhenEUNtzkoaEm8KkOavCQfA==" saltValue="mlk7RV6MG0GA1hYWQAQu1g==" spinCount="100000" sheet="1" objects="1" scenarios="1"/>
  <mergeCells count="9">
    <mergeCell ref="M5:P5"/>
    <mergeCell ref="B3:D3"/>
    <mergeCell ref="B5:K5"/>
    <mergeCell ref="B1:K1"/>
    <mergeCell ref="B46:C46"/>
    <mergeCell ref="B41:C41"/>
    <mergeCell ref="F3:H3"/>
    <mergeCell ref="F4:H4"/>
    <mergeCell ref="B25:K25"/>
  </mergeCells>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opLeftCell="B1" workbookViewId="0">
      <selection activeCell="B13" sqref="B13"/>
    </sheetView>
  </sheetViews>
  <sheetFormatPr baseColWidth="10" defaultRowHeight="13.2" x14ac:dyDescent="0.25"/>
  <cols>
    <col min="1" max="1" width="13.33203125" customWidth="1"/>
    <col min="2" max="2" width="13.44140625" customWidth="1"/>
    <col min="3" max="3" width="16.5546875" customWidth="1"/>
    <col min="4" max="4" width="18.5546875" customWidth="1"/>
    <col min="5" max="5" width="18" customWidth="1"/>
    <col min="6" max="6" width="14.88671875" customWidth="1"/>
    <col min="7" max="7" width="17.109375" customWidth="1"/>
    <col min="8" max="8" width="15.5546875" bestFit="1" customWidth="1"/>
  </cols>
  <sheetData>
    <row r="2" spans="1:9" x14ac:dyDescent="0.25">
      <c r="A2" s="257" t="s">
        <v>419</v>
      </c>
      <c r="B2" s="257" t="s">
        <v>423</v>
      </c>
      <c r="C2" s="257" t="s">
        <v>427</v>
      </c>
      <c r="D2" s="257" t="s">
        <v>406</v>
      </c>
      <c r="E2" s="257" t="s">
        <v>288</v>
      </c>
      <c r="F2" s="257" t="s">
        <v>289</v>
      </c>
      <c r="G2" s="257" t="s">
        <v>278</v>
      </c>
      <c r="H2" s="257" t="s">
        <v>435</v>
      </c>
    </row>
    <row r="3" spans="1:9" x14ac:dyDescent="0.25">
      <c r="A3" s="258" t="s">
        <v>30</v>
      </c>
      <c r="B3" s="259" t="s">
        <v>30</v>
      </c>
      <c r="C3" s="259" t="s">
        <v>30</v>
      </c>
      <c r="D3" s="259" t="s">
        <v>30</v>
      </c>
      <c r="E3" s="259" t="s">
        <v>30</v>
      </c>
      <c r="F3" s="259" t="s">
        <v>30</v>
      </c>
      <c r="G3" s="259" t="s">
        <v>30</v>
      </c>
      <c r="H3" s="259"/>
    </row>
    <row r="4" spans="1:9" x14ac:dyDescent="0.25">
      <c r="A4" s="258" t="s">
        <v>420</v>
      </c>
      <c r="B4" s="259" t="s">
        <v>424</v>
      </c>
      <c r="C4" s="259" t="s">
        <v>428</v>
      </c>
      <c r="D4" s="259" t="s">
        <v>430</v>
      </c>
      <c r="E4" s="259" t="s">
        <v>43</v>
      </c>
      <c r="F4" s="259" t="s">
        <v>451</v>
      </c>
      <c r="G4" s="259" t="s">
        <v>424</v>
      </c>
      <c r="H4" s="259">
        <v>329.5</v>
      </c>
    </row>
    <row r="5" spans="1:9" x14ac:dyDescent="0.25">
      <c r="A5" s="258" t="s">
        <v>421</v>
      </c>
      <c r="B5" s="259" t="s">
        <v>425</v>
      </c>
      <c r="C5" s="259" t="s">
        <v>429</v>
      </c>
      <c r="D5" s="259" t="s">
        <v>431</v>
      </c>
      <c r="E5" s="259" t="s">
        <v>44</v>
      </c>
      <c r="F5" s="259" t="s">
        <v>433</v>
      </c>
      <c r="G5" s="259" t="s">
        <v>425</v>
      </c>
      <c r="H5" s="259">
        <v>242.4</v>
      </c>
    </row>
    <row r="6" spans="1:9" x14ac:dyDescent="0.25">
      <c r="A6" s="258" t="s">
        <v>422</v>
      </c>
      <c r="B6" s="259" t="s">
        <v>426</v>
      </c>
      <c r="C6" s="259" t="s">
        <v>107</v>
      </c>
      <c r="D6" s="259" t="s">
        <v>432</v>
      </c>
      <c r="E6" s="259"/>
      <c r="F6" s="259"/>
      <c r="G6" s="259" t="s">
        <v>434</v>
      </c>
      <c r="H6" s="259">
        <v>30</v>
      </c>
      <c r="I6" t="s">
        <v>436</v>
      </c>
    </row>
    <row r="7" spans="1:9" x14ac:dyDescent="0.25">
      <c r="B7" s="259"/>
      <c r="D7" s="259" t="s">
        <v>107</v>
      </c>
      <c r="G7" s="267" t="s">
        <v>450</v>
      </c>
    </row>
    <row r="11" spans="1:9" s="260" customFormat="1" ht="26.4" x14ac:dyDescent="0.25">
      <c r="B11" s="261" t="s">
        <v>437</v>
      </c>
      <c r="C11" s="261" t="s">
        <v>438</v>
      </c>
      <c r="D11" s="261" t="s">
        <v>440</v>
      </c>
      <c r="E11" s="261"/>
    </row>
    <row r="12" spans="1:9" x14ac:dyDescent="0.25">
      <c r="B12" s="259" t="s">
        <v>30</v>
      </c>
      <c r="C12" s="259" t="s">
        <v>30</v>
      </c>
      <c r="D12" s="259" t="s">
        <v>30</v>
      </c>
      <c r="E12" s="259"/>
    </row>
    <row r="13" spans="1:9" x14ac:dyDescent="0.25">
      <c r="B13" s="259" t="s">
        <v>43</v>
      </c>
      <c r="C13" s="259" t="s">
        <v>43</v>
      </c>
      <c r="D13" s="259" t="s">
        <v>43</v>
      </c>
      <c r="E13" s="259"/>
    </row>
    <row r="14" spans="1:9" x14ac:dyDescent="0.25">
      <c r="B14" s="259" t="s">
        <v>44</v>
      </c>
      <c r="C14" s="259" t="s">
        <v>44</v>
      </c>
      <c r="D14" s="259" t="s">
        <v>44</v>
      </c>
      <c r="E14" s="259"/>
    </row>
  </sheetData>
  <sheetProtection algorithmName="SHA-512" hashValue="B3zDTH0vpzVegFqKZXT9v13maDv3UuEyVtnnXWm4FmDOLnt1d8Bij3i2fn96XGBaXumpR4p9a/ApO91/xMGCKA==" saltValue="uQ17RGOa+6OggCb+IUDevQ==" spinCount="100000" sheet="1" objects="1" scenarios="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9</vt:i4>
      </vt:variant>
    </vt:vector>
  </HeadingPairs>
  <TitlesOfParts>
    <vt:vector size="15" baseType="lpstr">
      <vt:lpstr>Accueil</vt:lpstr>
      <vt:lpstr>Fiche de vérification</vt:lpstr>
      <vt:lpstr>Valeurs de reference</vt:lpstr>
      <vt:lpstr>Fiche de synthèse</vt:lpstr>
      <vt:lpstr>Aide au calcul</vt:lpstr>
      <vt:lpstr>listes deroulantes</vt:lpstr>
      <vt:lpstr>Conso_annuelle</vt:lpstr>
      <vt:lpstr>Excel_BuiltIn__FilterDatabase_4</vt:lpstr>
      <vt:lpstr>longueur_reseau</vt:lpstr>
      <vt:lpstr>Puiss_bois</vt:lpstr>
      <vt:lpstr>Puiss_totale</vt:lpstr>
      <vt:lpstr>vol_total_silo</vt:lpstr>
      <vt:lpstr>vol_utile_silo</vt:lpstr>
      <vt:lpstr>'Fiche de vérification'!Zone_d_impression</vt:lpstr>
      <vt:lpstr>'Valeurs de reference'!Zone_d_impression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Thomas</cp:lastModifiedBy>
  <dcterms:created xsi:type="dcterms:W3CDTF">2018-04-11T11:47:04Z</dcterms:created>
  <dcterms:modified xsi:type="dcterms:W3CDTF">2020-03-05T09:59:39Z</dcterms:modified>
</cp:coreProperties>
</file>